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5910" firstSheet="4" activeTab="8"/>
  </bookViews>
  <sheets>
    <sheet name="Latihan 1" sheetId="1" r:id="rId1"/>
    <sheet name="Latihan 2" sheetId="2" r:id="rId2"/>
    <sheet name="Latihan 3" sheetId="3" r:id="rId3"/>
    <sheet name="Latihan 4" sheetId="4" r:id="rId4"/>
    <sheet name="Latihan 5" sheetId="5" r:id="rId5"/>
    <sheet name="Latihan 6" sheetId="6" r:id="rId6"/>
    <sheet name="Latihan 7" sheetId="7" r:id="rId7"/>
    <sheet name="Latihan 8" sheetId="8" r:id="rId8"/>
    <sheet name="Latihan 9" sheetId="9" r:id="rId9"/>
    <sheet name="Latihan 10" sheetId="10" r:id="rId10"/>
    <sheet name="Latihan 11" sheetId="11" r:id="rId11"/>
    <sheet name="Sheet1" sheetId="12" r:id="rId12"/>
    <sheet name="Sheet12" sheetId="13" r:id="rId13"/>
  </sheets>
  <definedNames/>
  <calcPr fullCalcOnLoad="1"/>
</workbook>
</file>

<file path=xl/sharedStrings.xml><?xml version="1.0" encoding="utf-8"?>
<sst xmlns="http://schemas.openxmlformats.org/spreadsheetml/2006/main" count="573" uniqueCount="439">
  <si>
    <t>NAMA</t>
  </si>
  <si>
    <t xml:space="preserve">TOTAL </t>
  </si>
  <si>
    <t>GAJI</t>
  </si>
  <si>
    <t>JUMLAH LEMBAR UANG</t>
  </si>
  <si>
    <t>PEGAWAI</t>
  </si>
  <si>
    <t>Suman</t>
  </si>
  <si>
    <t>Chandra</t>
  </si>
  <si>
    <t>Komar</t>
  </si>
  <si>
    <t>Ria</t>
  </si>
  <si>
    <t>Jujuk</t>
  </si>
  <si>
    <t>Tristan</t>
  </si>
  <si>
    <t>Sinta</t>
  </si>
  <si>
    <t>JUMLAH</t>
  </si>
  <si>
    <t>Keterangan :</t>
  </si>
  <si>
    <t>1. Judul dibuat seperti biasa sesuai jenis huruf dan sizenya pergunakan Text book untuk kotak</t>
  </si>
  <si>
    <t xml:space="preserve">    dan atur color serta ketebalan garis</t>
  </si>
  <si>
    <t>2. Untuk total gaji dan gaji dipergunakan dengan Format, cells, number, custom pilih format</t>
  </si>
  <si>
    <t xml:space="preserve">    yang ada tanda rupiah, kalau tidak ada diset dahulu</t>
  </si>
  <si>
    <t>3. Untuk membulatkan gaji dengan Round(sel total gaji,-2)</t>
  </si>
  <si>
    <t>4. Untuk mencari lembar Rp 10.000 dengan rumus : INT(sel gaji/10000)</t>
  </si>
  <si>
    <t>5. Untuk mencari lembar Rp 1.000 dengan rumus : INT(MOD(sel gaji,10000)/1000)</t>
  </si>
  <si>
    <t>6. Untuk mencari lembar Rp 1.00 dengan rumus : MOD(sel gaji,1000)/100</t>
  </si>
  <si>
    <t>7. Untuk Jumlah pakai rumus Jumlah dan di copy ke samping</t>
  </si>
  <si>
    <t>DAFTAR PEMBELIAN BARANG-BARANG</t>
  </si>
  <si>
    <t>P.T DEDI &amp; ADELINA</t>
  </si>
  <si>
    <t xml:space="preserve">J.L AGUNG RAYA 1 NO. 34 L.A JAKSEL </t>
  </si>
  <si>
    <t>NOMOR</t>
  </si>
  <si>
    <t>HARGA</t>
  </si>
  <si>
    <t>BARANG</t>
  </si>
  <si>
    <t>SATUAN</t>
  </si>
  <si>
    <t>BELI</t>
  </si>
  <si>
    <t>A-222</t>
  </si>
  <si>
    <t>T-SHIRT</t>
  </si>
  <si>
    <t>A-223</t>
  </si>
  <si>
    <t>JEANS</t>
  </si>
  <si>
    <t>A-224</t>
  </si>
  <si>
    <t>DASI</t>
  </si>
  <si>
    <t>A-225</t>
  </si>
  <si>
    <t>KOPIAH</t>
  </si>
  <si>
    <t>A-226</t>
  </si>
  <si>
    <t>SARUNG</t>
  </si>
  <si>
    <t>A-227</t>
  </si>
  <si>
    <t>CELANA</t>
  </si>
  <si>
    <t>T0TAL</t>
  </si>
  <si>
    <t>CATATAN:</t>
  </si>
  <si>
    <t>JUMLAH BARANG</t>
  </si>
  <si>
    <t>HARGA BARANG YANG TERMAHAL</t>
  </si>
  <si>
    <t>HARGA BARANG YANG TERMURAH</t>
  </si>
  <si>
    <t>RATA-RATA HARGA BARANG</t>
  </si>
  <si>
    <t>1. Untuk menulis Judul dimulai dari sel A1 dan diatur jenis huruf maupun ketebalannya</t>
  </si>
  <si>
    <t xml:space="preserve">    dan seterusnya kebawah</t>
  </si>
  <si>
    <t>2. Untuk membuat ketengah dibuat satu satu dengan Merge and Center (ada tanda a kecil)</t>
  </si>
  <si>
    <t>3. Untuk membuat kotak dipergunakan dengan Format, cells, border dan outline</t>
  </si>
  <si>
    <t>4. Untuk menulis nomor barang dipergunakan dengan data series</t>
  </si>
  <si>
    <t>5. Untuk menulis dalam kolom jumlah beli ada kata Unit dipakai Format,cells,custom ditulis : 0 "Unit"</t>
  </si>
  <si>
    <t>6. Untuk harga satuan dan harga barang di format dengan Format, cells, number dan custom</t>
  </si>
  <si>
    <t>7. Untuk Harga barang = Harga satuan dikali jumlah beli dan dicopy ke bawah</t>
  </si>
  <si>
    <t>8. Untuk total dipakai Autosum</t>
  </si>
  <si>
    <t>9. Untuk mengambil gambar dengan insert,Object, clipart galery sama seperti dalam Word</t>
  </si>
  <si>
    <t xml:space="preserve">    pilih gambar yang sesuai dengan keinginannya</t>
  </si>
  <si>
    <t xml:space="preserve">10. Untuk Jumlah barang, harga barang termahal,termurah dan rata rata dipakai rumus sama </t>
  </si>
  <si>
    <t xml:space="preserve">    dengan dalam Lotus diambil dari harga barang</t>
  </si>
  <si>
    <t>11. Untuk kotak dibawah dipakai saja dengan Format, cells, border</t>
  </si>
  <si>
    <t>A</t>
  </si>
  <si>
    <t>B</t>
  </si>
  <si>
    <t>C</t>
  </si>
  <si>
    <t>D</t>
  </si>
  <si>
    <t>E</t>
  </si>
  <si>
    <t>PT Pembangunan Perumahan Adelina</t>
  </si>
  <si>
    <t>Selama Tahun 1990 - 1998</t>
  </si>
  <si>
    <t>TAHUN</t>
  </si>
  <si>
    <t>TYPE KECIL</t>
  </si>
  <si>
    <t>TYPE SEDANG</t>
  </si>
  <si>
    <t>TYPE BESAR</t>
  </si>
  <si>
    <t>SEDERHANA</t>
  </si>
  <si>
    <t>MENENGAH</t>
  </si>
  <si>
    <t>MEWAH</t>
  </si>
  <si>
    <t>Jumlah</t>
  </si>
  <si>
    <t>Rata-rata</t>
  </si>
  <si>
    <t>Maximum</t>
  </si>
  <si>
    <t>Minimum</t>
  </si>
  <si>
    <t>Rumah yang dibangun untuk semua type selama tahun 1990- 1998</t>
  </si>
  <si>
    <t>1. Untuk membuat kotak dalam judul pakai saja Format, Cells, Border</t>
  </si>
  <si>
    <t>2 Untuk mengurutkan tahun ke bawah dipakai data file</t>
  </si>
  <si>
    <t>3. Untuk data sehingga ada Unit dipakai dengan Format, Cells, Number, Custom misal : 0 Unit</t>
  </si>
  <si>
    <t>4. Untuk jumlah, Rata rata, Maximum, Minimum dipakai rumus seperti biasa dari setiap lajur</t>
  </si>
  <si>
    <t>5. Untuk yang dibawah diambil dari kolom jumlah</t>
  </si>
  <si>
    <t>DAFTAR MAHASISWA &amp; BIAYA KULIAH</t>
  </si>
  <si>
    <t>UNIVERSITY OF NASUTION</t>
  </si>
  <si>
    <t>NO</t>
  </si>
  <si>
    <t>NOMOR INDUK</t>
  </si>
  <si>
    <t>ANGKATAN</t>
  </si>
  <si>
    <t>JURUSAN</t>
  </si>
  <si>
    <t>IPK</t>
  </si>
  <si>
    <t>UANG</t>
  </si>
  <si>
    <t>BIAYA</t>
  </si>
  <si>
    <t>URUT</t>
  </si>
  <si>
    <t>MAHASISWA</t>
  </si>
  <si>
    <t>DEPAN</t>
  </si>
  <si>
    <t>SKS</t>
  </si>
  <si>
    <t>KULIAH</t>
  </si>
  <si>
    <t>SELURUHNYA</t>
  </si>
  <si>
    <t>HK94105</t>
  </si>
  <si>
    <t>Abdul Hamid</t>
  </si>
  <si>
    <t>TS95001</t>
  </si>
  <si>
    <t>Jamal Mirdat</t>
  </si>
  <si>
    <t>HK95089</t>
  </si>
  <si>
    <t>Deni Hermawan</t>
  </si>
  <si>
    <t>EK96256</t>
  </si>
  <si>
    <t>Taufik Syahputra</t>
  </si>
  <si>
    <t>SP94705</t>
  </si>
  <si>
    <t xml:space="preserve">Abdul Rahim </t>
  </si>
  <si>
    <t>TS96004</t>
  </si>
  <si>
    <t>Sugandi Sudari</t>
  </si>
  <si>
    <t>SP94003</t>
  </si>
  <si>
    <t>Abdul Latif</t>
  </si>
  <si>
    <t>HK96056</t>
  </si>
  <si>
    <t>Zein kamal</t>
  </si>
  <si>
    <t>TA95022</t>
  </si>
  <si>
    <t>Erwin Madein</t>
  </si>
  <si>
    <t>HK96103</t>
  </si>
  <si>
    <t>Agus Barkah</t>
  </si>
  <si>
    <t>Tabel kode jurusan</t>
  </si>
  <si>
    <t>Kode</t>
  </si>
  <si>
    <t>Jurusan</t>
  </si>
  <si>
    <t>Biaya</t>
  </si>
  <si>
    <t>per SKS</t>
  </si>
  <si>
    <t>EK</t>
  </si>
  <si>
    <t>EKONOMI</t>
  </si>
  <si>
    <t>HK</t>
  </si>
  <si>
    <t>HUKUM</t>
  </si>
  <si>
    <t>SP</t>
  </si>
  <si>
    <t>SOS &amp; POL</t>
  </si>
  <si>
    <t>TS</t>
  </si>
  <si>
    <t>TEK. SIPIL</t>
  </si>
  <si>
    <t>TA</t>
  </si>
  <si>
    <t>TEK. ARSITEK</t>
  </si>
  <si>
    <t>I. Keterangan cara kerja :</t>
  </si>
  <si>
    <t>1. Untuk format nomor urut dipakai Format, Cells, Number, pilih custom diisi misal 00</t>
  </si>
  <si>
    <t>2. Untuk angkatan sehingga keluar tegak lurus dipergunakan dengan format, cells. Alignment pilih text tegak lurus</t>
  </si>
  <si>
    <t>3 Untuk Rp sama dengan cara nomor 1 tinggal pilih yang ada Rp</t>
  </si>
  <si>
    <t>II. Keterangan untuk rumus :</t>
  </si>
  <si>
    <t>1. Untuk nomor urut dipakai dengan data series</t>
  </si>
  <si>
    <t>2. Untuk mencari Nama depan dipergunakan dengan Left dan find misal Left(sel nama, find(" ",sel nama,1))</t>
  </si>
  <si>
    <t>3. Untuk mencari angkatan dengan rumus Sel nomor induk diambil 2 karakter ditengah (fungsi Mid)</t>
  </si>
  <si>
    <t>4. Untuk Jurusan dipakai dengan Rumus Vlookup</t>
  </si>
  <si>
    <t>5.Untuk mencari Jumlah SKS dengan ketentuan sbb:</t>
  </si>
  <si>
    <t xml:space="preserve">   Jika IPK&lt;2, maka jumlah SKS = 16</t>
  </si>
  <si>
    <t xml:space="preserve">   Jika IPK&gt;2 - 2.5 , maka jumlah SKS = 20</t>
  </si>
  <si>
    <t xml:space="preserve">   Jika IPK &gt;2.5 - 3 , maka jumlah SKS = 22</t>
  </si>
  <si>
    <t xml:space="preserve">   Jika IPK &gt; 3 , maka jumlah SKS = 24</t>
  </si>
  <si>
    <t>6. Untuk mencari Uang kuliah dengan rumus :</t>
  </si>
  <si>
    <t xml:space="preserve">    Jika angkatan = 94, maka uang kuliah = 750000</t>
  </si>
  <si>
    <t xml:space="preserve">    Jika angkatan = 95, maka uang kuliah = 850000</t>
  </si>
  <si>
    <t xml:space="preserve">    Jika angkatan = 96, maka uang kuliah = 950000</t>
  </si>
  <si>
    <t>7. Biaya seluruhnya = Jumlah SKS dikalikan dengan biaya per SKS (pakai Vlookup) ditambah Uang kuliah</t>
  </si>
  <si>
    <t>LAPORAN UPAH HARIAN</t>
  </si>
  <si>
    <t>PT DEDI &amp; ADELINA</t>
  </si>
  <si>
    <t>Jalan AGUNG RAYA  I NO. 34</t>
  </si>
  <si>
    <t xml:space="preserve">Jam Kerja Normal                  </t>
  </si>
  <si>
    <t>Nama Karyawan</t>
  </si>
  <si>
    <t>Jam Masuk</t>
  </si>
  <si>
    <t>Jam Keluar</t>
  </si>
  <si>
    <t>Lama Kerja</t>
  </si>
  <si>
    <t>Lama Lembur</t>
  </si>
  <si>
    <t>Upah per jam</t>
  </si>
  <si>
    <t>Upah Kerja</t>
  </si>
  <si>
    <t>Upah Lembur</t>
  </si>
  <si>
    <t>Total Upah</t>
  </si>
  <si>
    <t>Sandi Nayoan</t>
  </si>
  <si>
    <t>Mirda Razak</t>
  </si>
  <si>
    <t>Hengky Abdullah</t>
  </si>
  <si>
    <t>Mimin Sandora</t>
  </si>
  <si>
    <t>Herry Setiawan</t>
  </si>
  <si>
    <t>Dudung Nurzaman</t>
  </si>
  <si>
    <t>Jeffry Hutabarat</t>
  </si>
  <si>
    <t>Santi Santosa</t>
  </si>
  <si>
    <t>Jhon Ujang</t>
  </si>
  <si>
    <t>T    O    T    A     L</t>
  </si>
  <si>
    <t>1. Untuk judul dibuat ditengah dipergunakan Merge and Center dan pergunakan huruf yang sesusai</t>
  </si>
  <si>
    <t>2. Untuk jam kerja normal dipergunakan Kolom tersendiri dan diset dengan Format, cells, number,custom misal : 0 jam sehari</t>
  </si>
  <si>
    <t>3. Untuk jam masuk dan jam keluar dipergunakan dengan set Format, cells, number, time dan sesuaikan dengan hasil(tulis biasa) misal : 6:45 atau 18:25</t>
  </si>
  <si>
    <t>4. Lama kerja diperoleh dengan jam keluar - jam masuk dengan mempergunakan Set format, cells, number, custom baru sesuaikan</t>
  </si>
  <si>
    <t xml:space="preserve">   misal : h "jam lebih" mm " menit"</t>
  </si>
  <si>
    <t>5. Untuk mencari Lama Lembur dengan rumus Lama kerja - absolut jam kerja normal dibagi 24 dan diset format sesuai dengan nomor 4</t>
  </si>
  <si>
    <t>6. Upah kerja dengan rumus Upah per jam dikali absolut jam kerja normal</t>
  </si>
  <si>
    <t>7. Upah lembur diperoleh dari Lama lembur dikalikan 1.5 dari upah per jam dikalikan 24</t>
  </si>
  <si>
    <t>8. Total upah dengan rumus Upah kerja + Upah lembur</t>
  </si>
  <si>
    <t>DAFTAR SETORAN KEUANGAN TOKO MAJU JAYA</t>
  </si>
  <si>
    <t>JALAN DOROLONDA</t>
  </si>
  <si>
    <t>TELEP. 071000003</t>
  </si>
  <si>
    <t>No</t>
  </si>
  <si>
    <t>JUMLAH STOCK</t>
  </si>
  <si>
    <t xml:space="preserve">JUMLAH BARANG </t>
  </si>
  <si>
    <t xml:space="preserve">SISA STOCK </t>
  </si>
  <si>
    <t xml:space="preserve">HARGA NETTO </t>
  </si>
  <si>
    <t xml:space="preserve">HARGA JUAL </t>
  </si>
  <si>
    <t>LABA JUAL</t>
  </si>
  <si>
    <t xml:space="preserve">POTONGAN UNTUK </t>
  </si>
  <si>
    <t xml:space="preserve">KEUNTUNGAN </t>
  </si>
  <si>
    <t>TERJUAL</t>
  </si>
  <si>
    <t>PERSATUAN</t>
  </si>
  <si>
    <t>PAJAK 2%</t>
  </si>
  <si>
    <t>BERSIH</t>
  </si>
  <si>
    <t>JUMLAH TOTAL</t>
  </si>
  <si>
    <t>1. Sisa stock barang = jumlah stock barang - jumlah barang terjual</t>
  </si>
  <si>
    <t>2. Laba jual = harga jual persatuan - harga netto persatuan</t>
  </si>
  <si>
    <t>3. potongan pajak 2% = laba jual * 2%</t>
  </si>
  <si>
    <t>4. Keuntungan bersih = laba jual - potongan pajak 2%</t>
  </si>
  <si>
    <t>RENCANA ANGGARAN PERENCANAAN</t>
  </si>
  <si>
    <t>PENGADAAN BUKU PENUNJANG MATERI DAN LKS</t>
  </si>
  <si>
    <t>CV. ANGIN RIBUT</t>
  </si>
  <si>
    <t>MATA PELAJARAN T I K</t>
  </si>
  <si>
    <t>TAHUN 2009</t>
  </si>
  <si>
    <t>BANYAKNYA</t>
  </si>
  <si>
    <t>CARA</t>
  </si>
  <si>
    <t>MODAL PRODUKSI</t>
  </si>
  <si>
    <t>ESTIMASI HARGA</t>
  </si>
  <si>
    <t>PEMASUKKAN</t>
  </si>
  <si>
    <t>PENGELUARAN 30%</t>
  </si>
  <si>
    <t>PEMASUKAN SETELAH DIKURANGI BIAYA</t>
  </si>
  <si>
    <t>PEMBAYARAN</t>
  </si>
  <si>
    <t>PRODUKSI</t>
  </si>
  <si>
    <t>UNTUK 3500 BUKU</t>
  </si>
  <si>
    <t>JUAL</t>
  </si>
  <si>
    <t>KOTOR</t>
  </si>
  <si>
    <t>UNTUK RABAT GURU</t>
  </si>
  <si>
    <t>PRODUKSI DAN PENGELUARAN 30%</t>
  </si>
  <si>
    <t>CASH</t>
  </si>
  <si>
    <t>Kridit 1 Smster</t>
  </si>
  <si>
    <t>dng jaminan</t>
  </si>
  <si>
    <t>1. Modal produksi dihitung berdasarkan bayaknya jumlah produksi x harga produksi</t>
  </si>
  <si>
    <t>3. Pengeluaran untuk rabat dicari 30% dari pendapatan kotor</t>
  </si>
  <si>
    <t>LAPORAN GAJI KARYAWAN</t>
  </si>
  <si>
    <t>NIP</t>
  </si>
  <si>
    <t xml:space="preserve">NAMA </t>
  </si>
  <si>
    <t xml:space="preserve">MASA </t>
  </si>
  <si>
    <t xml:space="preserve">GAJI </t>
  </si>
  <si>
    <t xml:space="preserve">TUNJ. </t>
  </si>
  <si>
    <t>TUNJ.</t>
  </si>
  <si>
    <t xml:space="preserve">TUNJ </t>
  </si>
  <si>
    <t>POTONGAN</t>
  </si>
  <si>
    <t>KARYAWAN</t>
  </si>
  <si>
    <t>KERJA</t>
  </si>
  <si>
    <t>POKOK</t>
  </si>
  <si>
    <t>JABATAN</t>
  </si>
  <si>
    <t xml:space="preserve"> KELUARGA</t>
  </si>
  <si>
    <t>HARI TUA</t>
  </si>
  <si>
    <t>SEJAHTERA</t>
  </si>
  <si>
    <t>SOSIAL</t>
  </si>
  <si>
    <t>MASA KERJA</t>
  </si>
  <si>
    <t>NOVIA</t>
  </si>
  <si>
    <t>HARYANTO</t>
  </si>
  <si>
    <t>DERI TANTYO</t>
  </si>
  <si>
    <t>MARDIYANTO</t>
  </si>
  <si>
    <t>BAMBANG</t>
  </si>
  <si>
    <t>HERYAWAN</t>
  </si>
  <si>
    <t>HERMAWATI</t>
  </si>
  <si>
    <t>EKODEO</t>
  </si>
  <si>
    <t>RODERITUS</t>
  </si>
  <si>
    <t>DEVIANA</t>
  </si>
  <si>
    <t>KANTIYANA</t>
  </si>
  <si>
    <t>MARSI TARISA</t>
  </si>
  <si>
    <t>KARSENO</t>
  </si>
  <si>
    <t>MARGIYANTO</t>
  </si>
  <si>
    <t>TOTAL</t>
  </si>
  <si>
    <t>RATA-RATA</t>
  </si>
  <si>
    <t>NILAI TERTINGGI</t>
  </si>
  <si>
    <t>NILAI TERENDAH</t>
  </si>
  <si>
    <t>PETUNJUK</t>
  </si>
  <si>
    <t xml:space="preserve">1. Tunjangan jabatan </t>
  </si>
  <si>
    <t>: 1,5% dari gaji pokok</t>
  </si>
  <si>
    <t>6. Tunjangan masa kerja</t>
  </si>
  <si>
    <t>: 1% dari gaji pokok dikalikan masa kerja</t>
  </si>
  <si>
    <t>2. Tunjangan keluarga</t>
  </si>
  <si>
    <t>: 2% dari gaji pokok</t>
  </si>
  <si>
    <t>3. Tunjangan hari tua</t>
  </si>
  <si>
    <t>: 1% dari gaji pokok</t>
  </si>
  <si>
    <t>8. Potongan</t>
  </si>
  <si>
    <t>: 1% dari gaji kotor</t>
  </si>
  <si>
    <t>4. Tunjangan sejahtera</t>
  </si>
  <si>
    <t>: 3% dari gaji pokok</t>
  </si>
  <si>
    <t>9. Gaji bersih</t>
  </si>
  <si>
    <t>: gaji kotor dikurangi potongan</t>
  </si>
  <si>
    <t>5. Tunjangan sosial</t>
  </si>
  <si>
    <t>: 2,5% dari gaji pokok</t>
  </si>
  <si>
    <t>LPK MAKMUR</t>
  </si>
  <si>
    <t>KODE</t>
  </si>
  <si>
    <t>STATUS</t>
  </si>
  <si>
    <t>BAGIAN</t>
  </si>
  <si>
    <t>TUNJANGAN</t>
  </si>
  <si>
    <t>KELUARGA</t>
  </si>
  <si>
    <t>GARIN</t>
  </si>
  <si>
    <t>K</t>
  </si>
  <si>
    <t>HNR</t>
  </si>
  <si>
    <t>ADM</t>
  </si>
  <si>
    <t>DINDA</t>
  </si>
  <si>
    <t>STA</t>
  </si>
  <si>
    <t>MAR</t>
  </si>
  <si>
    <t>TITIK</t>
  </si>
  <si>
    <t>MARTIN</t>
  </si>
  <si>
    <t>DODO</t>
  </si>
  <si>
    <t>INST</t>
  </si>
  <si>
    <t>KOM</t>
  </si>
  <si>
    <t>KIRUN</t>
  </si>
  <si>
    <t>GOMBLOH</t>
  </si>
  <si>
    <t>CODET</t>
  </si>
  <si>
    <t>MITRO</t>
  </si>
  <si>
    <t>1. Status dicari berdasar kode status dengan fungsi logika, jika B maka bujang, jika K maka kawin</t>
  </si>
  <si>
    <t>3. Bagian dicari berdasarkan kode bagian dengan fungsi logika, jika KEU maka KEUANGAN, jika ADM maka ADMINISTRASI, jika KOM maka KOMPUTER, jika MAR maka MARKETING, jika ING maka INGGRIS</t>
  </si>
  <si>
    <t>4. Gaji pokok dicari berdasarkan jabatan dengan fungsi logika jika instruktur maka 1000000, jika staf maka 800000, jika honorer maka 300000</t>
  </si>
  <si>
    <t>5. Tunjangan keluarga dicari berdasarkan status dengan fungsi logika jika kawin maka 5% dari gaji pokok, jika bujang maka 1% dari gaji pokok</t>
  </si>
  <si>
    <t>6. Tunjangan bagian dicari berdasar kode bagian dengan fungsi logika jika KEU maka 110000, jika ADM maka 50000, jika KOM maka 100000, jika MAR maka 75000, jika ING maka 90000</t>
  </si>
  <si>
    <t>7. Gaji bersih yaitu gaji pokok ditambah tunjangan</t>
  </si>
  <si>
    <t>LAPORAN PENDAPATAN SEWA</t>
  </si>
  <si>
    <t>NAMA PENYEWA</t>
  </si>
  <si>
    <t>KOTA</t>
  </si>
  <si>
    <t>JENIS TREVEL</t>
  </si>
  <si>
    <t>TGL SEWA</t>
  </si>
  <si>
    <t>TGL KEMBALI</t>
  </si>
  <si>
    <t>LAMA SEWA</t>
  </si>
  <si>
    <t>TARIF SEWA/ HARI</t>
  </si>
  <si>
    <t>TOTAL TARIF SEWA</t>
  </si>
  <si>
    <t>TOTAL BAYAR</t>
  </si>
  <si>
    <t>BONUS</t>
  </si>
  <si>
    <t>KETERANGAN</t>
  </si>
  <si>
    <t>SOLO</t>
  </si>
  <si>
    <t>COLT</t>
  </si>
  <si>
    <t>ANGGUN</t>
  </si>
  <si>
    <t>SRAGEN</t>
  </si>
  <si>
    <t>MINIBUS</t>
  </si>
  <si>
    <t>NINDI</t>
  </si>
  <si>
    <t>KLATEN</t>
  </si>
  <si>
    <t>SEDAN</t>
  </si>
  <si>
    <t>JONY</t>
  </si>
  <si>
    <t>SUKOHARJO</t>
  </si>
  <si>
    <t>NIKO</t>
  </si>
  <si>
    <t>TOMY</t>
  </si>
  <si>
    <t>BUS</t>
  </si>
  <si>
    <t>NICOLE</t>
  </si>
  <si>
    <t>RIERIE</t>
  </si>
  <si>
    <t>DODY</t>
  </si>
  <si>
    <t>NANIK</t>
  </si>
  <si>
    <t>DEDY</t>
  </si>
  <si>
    <t>SILVIE</t>
  </si>
  <si>
    <t>MAGDA</t>
  </si>
  <si>
    <t>WIWIN</t>
  </si>
  <si>
    <t>LOLY</t>
  </si>
  <si>
    <t>JUMLAH TOTAL BAYAR</t>
  </si>
  <si>
    <t>TOTAL BAYAR TERBESAR</t>
  </si>
  <si>
    <t>TOTAL BAYAR TERKECIL</t>
  </si>
  <si>
    <t>RATA - RATA TOTAL BAYAR</t>
  </si>
  <si>
    <t>PETUNJUK MENGERJAKAN</t>
  </si>
  <si>
    <t>LAMA SEWA= TGL KEMBALI dikurangi TGL SEWA</t>
  </si>
  <si>
    <t>TARIF SEWA PERHARI dicari berdasar JENIS TRAVEL dgn FUNGSI logika</t>
  </si>
  <si>
    <t>Jika BUS maka 600000, jika MINIBUS maka 450000, jika SEDAN maka 350000, jika COLT maka 300000</t>
  </si>
  <si>
    <t>TOTAL TARIF SEWA dari LAMA SEWA dikalikan TARIF SEWA PERHARI</t>
  </si>
  <si>
    <t>POTONGAN dicari berdasar LAMA SEWA dgn FUNGSI logika</t>
  </si>
  <si>
    <t>Jika kurang dari 3 maka 10% dari TOTAL TARIF SEWA</t>
  </si>
  <si>
    <t>Jika 3 -6 maka 10% dari TOTAL TARIF SEWA</t>
  </si>
  <si>
    <t>Jika 7 -10 maka 15% TOTAL TARIF SISWA</t>
  </si>
  <si>
    <t>Jika 11 -15 maka 20% TOTAL TARIF SISWA</t>
  </si>
  <si>
    <t>Jika lebih dari 15 maka 25% dari TOTAL TARIF SEWA</t>
  </si>
  <si>
    <t>TOTAL BAYAR dari TOTAL TARIF SEWA dikurangi POTONGAN</t>
  </si>
  <si>
    <t>BONUS berdasar JENUS TRAVEL dan LAMA SEWA dgn FUNGSI logika</t>
  </si>
  <si>
    <t>Jika JENIS TRAVEL BUS dan LAMA SEWA lebih dari 5 maka TAS EKSLUSIF</t>
  </si>
  <si>
    <t>Jika JENIS TRAVEL MINIBUS dan LAMA SEWA lebih dari 7 maka KAOS</t>
  </si>
  <si>
    <t>Lainya TIDAK DAPAT</t>
  </si>
  <si>
    <t>KETERANGAN dicari berdasar KOTA dgn FUNGSI logika</t>
  </si>
  <si>
    <t>Jika SOLO atau SRAGEN maka DIJEMPUT, lainya TIDAK</t>
  </si>
  <si>
    <t>CV HANDUK PUTRA</t>
  </si>
  <si>
    <t>JLN SLAMET RIYADI KARANGANYAR</t>
  </si>
  <si>
    <t>PEMBELI</t>
  </si>
  <si>
    <t>TANGGAL</t>
  </si>
  <si>
    <t>TYPE</t>
  </si>
  <si>
    <t>JENIS</t>
  </si>
  <si>
    <t>MASA</t>
  </si>
  <si>
    <t>DISCOUNT</t>
  </si>
  <si>
    <t>PENERIMA</t>
  </si>
  <si>
    <t>MOBIL</t>
  </si>
  <si>
    <t>TRANSMISI</t>
  </si>
  <si>
    <t>MUKA</t>
  </si>
  <si>
    <t>KREDIT</t>
  </si>
  <si>
    <t>KAS</t>
  </si>
  <si>
    <t>CVAUTT03</t>
  </si>
  <si>
    <t>NANDA</t>
  </si>
  <si>
    <t>GNAUTT04</t>
  </si>
  <si>
    <t>WAWAN</t>
  </si>
  <si>
    <t>MTAUTT03</t>
  </si>
  <si>
    <t>IWAN</t>
  </si>
  <si>
    <t>ACSTAK04</t>
  </si>
  <si>
    <t>BAGIO</t>
  </si>
  <si>
    <t>BADITA</t>
  </si>
  <si>
    <t>LICIN WE</t>
  </si>
  <si>
    <t>KO LEE</t>
  </si>
  <si>
    <t>Tabel harga</t>
  </si>
  <si>
    <t>Type Mobil</t>
  </si>
  <si>
    <t>Harga Mobil</t>
  </si>
  <si>
    <t>Standart</t>
  </si>
  <si>
    <t>Automatic</t>
  </si>
  <si>
    <t>Petunjuk pengerjaan soal</t>
  </si>
  <si>
    <t>7. Diskon diberikan berdasarkan type mobil</t>
  </si>
  <si>
    <t>Civic</t>
  </si>
  <si>
    <t>1. Type mobil ditentukan dari kode</t>
  </si>
  <si>
    <t xml:space="preserve">    Type mobil accord atau civic mendapat diskon 7,5% harga mobil</t>
  </si>
  <si>
    <t>Genio</t>
  </si>
  <si>
    <t>jika CV=Civic</t>
  </si>
  <si>
    <t xml:space="preserve">    Type mobil genio mendapat diskon 5% harga mobil selain itu 0</t>
  </si>
  <si>
    <t>Accord</t>
  </si>
  <si>
    <t xml:space="preserve">      GN=Genio</t>
  </si>
  <si>
    <t>8. Penerimaan kas=uang muka dikalikan masa kridit-diskon</t>
  </si>
  <si>
    <t>Matic</t>
  </si>
  <si>
    <t xml:space="preserve">      AC=Accord</t>
  </si>
  <si>
    <t xml:space="preserve">      MT=Matic</t>
  </si>
  <si>
    <t>2. Type transmisi berdasarkan kode</t>
  </si>
  <si>
    <t>jika AUT=Automatic</t>
  </si>
  <si>
    <t xml:space="preserve">      STA=Standart</t>
  </si>
  <si>
    <t>3. Uang muka diberikan berdasarkan type mobil, jika:</t>
  </si>
  <si>
    <t xml:space="preserve">    type mobil Genio atau matik maka 10%*harga mobil</t>
  </si>
  <si>
    <t xml:space="preserve">    type mobil Civic maka 15%*harga mobil</t>
  </si>
  <si>
    <t xml:space="preserve">    type mobil accord maka 20%*harga mobil</t>
  </si>
  <si>
    <t>4. Jenis pembayaran diambil berdasar kode jika T maka tunai, jika K maka kridit</t>
  </si>
  <si>
    <t>5. Masa kridit diambil 2 karakter dari kanan</t>
  </si>
  <si>
    <t>6. Bonus diberikan berdasarkan:</t>
  </si>
  <si>
    <t xml:space="preserve">    Type mobil accord dan masa kridit &lt;3 mendapat susuki smash</t>
  </si>
  <si>
    <t xml:space="preserve">    Type mobil civic dan masa kridit &lt;=3 mendapat kamera</t>
  </si>
  <si>
    <t xml:space="preserve">    Type mobil genio dan masa kridit &lt;=3 mendapat HP selain itu mendapat sepeda federall</t>
  </si>
  <si>
    <t>SMK  NEGERI JENEWA  1 KARANGANYAR</t>
  </si>
  <si>
    <t xml:space="preserve">JALAN RAYA BALONG-SRAGEN KM.2 </t>
  </si>
  <si>
    <t>Ada</t>
  </si>
  <si>
    <t>: gaji pokok + semua tunjangan</t>
  </si>
  <si>
    <t xml:space="preserve">7. Gaji  KOTOR </t>
  </si>
  <si>
    <t xml:space="preserve">Jumlah </t>
  </si>
  <si>
    <t>aguswur_smajenawi@yahoo.co.id</t>
  </si>
  <si>
    <t>aguswuryanto1974@gmail.com</t>
  </si>
  <si>
    <t>a6</t>
  </si>
  <si>
    <t>2. Pemasukan kotor dicari berdasarkan harga Jual x jumlah produksi</t>
  </si>
  <si>
    <t>4. Pemasukkan dicari Pemasukan kotor  dikurangi biaya produksi dan pengeluaran 30%</t>
  </si>
  <si>
    <t>2. Jabatan dicari berdasarkan kode bagian dengan fungsi logika, jika STA maka STAF, jika HNR maka HONORER, jika INST maka INSTRUKTUR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</si>
</sst>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.00_);_(&quot;Rp&quot;* \(#,##0.00\);_(&quot;Rp&quot;* &quot;-&quot;??_);_(@_)"/>
    <numFmt numFmtId="165" formatCode="0\ &quot;Unit&quot;"/>
    <numFmt numFmtId="166" formatCode="#,##0\ \U\n\i\t"/>
    <numFmt numFmtId="167" formatCode="00"/>
    <numFmt numFmtId="168" formatCode="0\ &quot;Jam sehari&quot;"/>
    <numFmt numFmtId="169" formatCode="h\ &quot;jam lebih&quot;\ mm\ &quot;menit&quot;"/>
    <numFmt numFmtId="170" formatCode="[$Rp-421]#,##0.00"/>
    <numFmt numFmtId="171" formatCode="[$-421]dd\ mmmm\ yyyy;@"/>
  </numFmts>
  <fonts count="3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0"/>
      <color indexed="61"/>
      <name val="Algerian"/>
      <family val="0"/>
    </font>
    <font>
      <b/>
      <u val="single"/>
      <sz val="10"/>
      <color indexed="61"/>
      <name val="Algerian"/>
      <family val="5"/>
    </font>
    <font>
      <b/>
      <sz val="9"/>
      <name val="Arial Narrow"/>
      <family val="2"/>
    </font>
    <font>
      <b/>
      <sz val="16"/>
      <color indexed="61"/>
      <name val="Arial Black"/>
      <family val="2"/>
    </font>
    <font>
      <b/>
      <sz val="10"/>
      <color indexed="61"/>
      <name val="Arial"/>
      <family val="0"/>
    </font>
    <font>
      <b/>
      <sz val="14"/>
      <color indexed="61"/>
      <name val="Arial Black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Lucida Handwriting"/>
      <family val="4"/>
    </font>
    <font>
      <b/>
      <sz val="9"/>
      <name val="Arial"/>
      <family val="2"/>
    </font>
    <font>
      <b/>
      <sz val="16"/>
      <name val="Arial Black"/>
      <family val="2"/>
    </font>
    <font>
      <b/>
      <sz val="16"/>
      <color indexed="32"/>
      <name val="Arial Black"/>
      <family val="2"/>
    </font>
    <font>
      <sz val="10"/>
      <color indexed="32"/>
      <name val="Arial"/>
      <family val="2"/>
    </font>
    <font>
      <sz val="10"/>
      <name val="Ariston-ExtraBold-Italic"/>
      <family val="0"/>
    </font>
    <font>
      <b/>
      <sz val="10"/>
      <name val="Algerian"/>
      <family val="0"/>
    </font>
    <font>
      <sz val="12"/>
      <color indexed="8"/>
      <name val="Kleptomaniac"/>
      <family val="0"/>
    </font>
    <font>
      <sz val="12"/>
      <color indexed="8"/>
      <name val="Casper Comics"/>
      <family val="0"/>
    </font>
    <font>
      <b/>
      <sz val="10"/>
      <name val="Lucida Handwriting"/>
      <family val="4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lightUp">
        <bgColor indexed="40"/>
      </patternFill>
    </fill>
  </fills>
  <borders count="69">
    <border>
      <left/>
      <right/>
      <top/>
      <bottom/>
      <diagonal/>
    </border>
    <border>
      <left style="thick">
        <color indexed="25"/>
      </left>
      <right style="thick">
        <color indexed="25"/>
      </right>
      <top style="thick">
        <color indexed="25"/>
      </top>
      <bottom>
        <color indexed="63"/>
      </bottom>
    </border>
    <border>
      <left>
        <color indexed="63"/>
      </left>
      <right>
        <color indexed="63"/>
      </right>
      <top style="thick">
        <color indexed="25"/>
      </top>
      <bottom>
        <color indexed="63"/>
      </bottom>
    </border>
    <border>
      <left>
        <color indexed="63"/>
      </left>
      <right style="thick">
        <color indexed="25"/>
      </right>
      <top style="thick">
        <color indexed="25"/>
      </top>
      <bottom>
        <color indexed="63"/>
      </bottom>
    </border>
    <border>
      <left style="thick">
        <color indexed="25"/>
      </left>
      <right style="thick">
        <color indexed="25"/>
      </right>
      <top>
        <color indexed="63"/>
      </top>
      <bottom style="thick">
        <color indexed="25"/>
      </bottom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</border>
    <border>
      <left>
        <color indexed="63"/>
      </left>
      <right>
        <color indexed="63"/>
      </right>
      <top style="thick">
        <color indexed="25"/>
      </top>
      <bottom style="thick">
        <color indexed="25"/>
      </bottom>
    </border>
    <border>
      <left style="medium">
        <color indexed="25"/>
      </left>
      <right style="medium">
        <color indexed="25"/>
      </right>
      <top style="medium">
        <color indexed="25"/>
      </top>
      <bottom>
        <color indexed="63"/>
      </bottom>
    </border>
    <border>
      <left style="medium">
        <color indexed="25"/>
      </left>
      <right style="thick">
        <color indexed="25"/>
      </right>
      <top style="medium">
        <color indexed="25"/>
      </top>
      <bottom>
        <color indexed="63"/>
      </bottom>
    </border>
    <border>
      <left style="medium">
        <color indexed="25"/>
      </left>
      <right style="medium">
        <color indexed="25"/>
      </right>
      <top style="medium">
        <color indexed="25"/>
      </top>
      <bottom style="thick">
        <color indexed="25"/>
      </bottom>
    </border>
    <border>
      <left style="medium">
        <color indexed="25"/>
      </left>
      <right style="thick">
        <color indexed="25"/>
      </right>
      <top style="medium">
        <color indexed="25"/>
      </top>
      <bottom style="thick">
        <color indexed="25"/>
      </bottom>
    </border>
    <border>
      <left style="thick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 style="thick">
        <color indexed="61"/>
      </top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5"/>
      </left>
      <right style="medium">
        <color indexed="25"/>
      </right>
      <top style="thick">
        <color indexed="25"/>
      </top>
      <bottom>
        <color indexed="63"/>
      </bottom>
    </border>
    <border>
      <left style="medium">
        <color indexed="25"/>
      </left>
      <right style="medium">
        <color indexed="25"/>
      </right>
      <top style="thick">
        <color indexed="25"/>
      </top>
      <bottom>
        <color indexed="63"/>
      </bottom>
    </border>
    <border>
      <left style="thick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medium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thick">
        <color indexed="25"/>
      </left>
      <right style="medium">
        <color indexed="25"/>
      </right>
      <top>
        <color indexed="63"/>
      </top>
      <bottom style="thick">
        <color indexed="25"/>
      </bottom>
    </border>
    <border>
      <left style="medium">
        <color indexed="25"/>
      </left>
      <right style="medium">
        <color indexed="25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16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23" xfId="0" applyFill="1" applyBorder="1" applyAlignment="1">
      <alignment/>
    </xf>
    <xf numFmtId="164" fontId="0" fillId="0" borderId="24" xfId="0" applyNumberForma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165" fontId="0" fillId="0" borderId="31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64" fontId="0" fillId="0" borderId="35" xfId="0" applyNumberForma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37" xfId="0" applyFont="1" applyBorder="1" applyAlignment="1">
      <alignment horizontal="centerContinuous"/>
    </xf>
    <xf numFmtId="0" fontId="6" fillId="0" borderId="38" xfId="0" applyFont="1" applyBorder="1" applyAlignment="1">
      <alignment horizontal="centerContinuous"/>
    </xf>
    <xf numFmtId="0" fontId="3" fillId="0" borderId="21" xfId="0" applyFont="1" applyBorder="1" applyAlignment="1">
      <alignment horizontal="center"/>
    </xf>
    <xf numFmtId="0" fontId="6" fillId="0" borderId="39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29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166" fontId="4" fillId="0" borderId="4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45" xfId="0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0" fillId="0" borderId="49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5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3" fillId="4" borderId="51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53" xfId="0" applyFont="1" applyFill="1" applyBorder="1" applyAlignment="1">
      <alignment/>
    </xf>
    <xf numFmtId="164" fontId="16" fillId="0" borderId="53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0" fontId="1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168" fontId="3" fillId="0" borderId="0" xfId="0" applyNumberFormat="1" applyFont="1" applyAlignment="1">
      <alignment/>
    </xf>
    <xf numFmtId="0" fontId="3" fillId="3" borderId="54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20" fillId="0" borderId="54" xfId="0" applyFont="1" applyFill="1" applyBorder="1" applyAlignment="1">
      <alignment/>
    </xf>
    <xf numFmtId="20" fontId="3" fillId="0" borderId="54" xfId="0" applyNumberFormat="1" applyFont="1" applyFill="1" applyBorder="1" applyAlignment="1">
      <alignment/>
    </xf>
    <xf numFmtId="169" fontId="4" fillId="0" borderId="54" xfId="0" applyNumberFormat="1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0" fontId="21" fillId="3" borderId="56" xfId="0" applyFont="1" applyFill="1" applyBorder="1" applyAlignment="1">
      <alignment/>
    </xf>
    <xf numFmtId="0" fontId="3" fillId="3" borderId="55" xfId="0" applyFont="1" applyFill="1" applyBorder="1" applyAlignment="1">
      <alignment/>
    </xf>
    <xf numFmtId="164" fontId="4" fillId="3" borderId="5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5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1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5" borderId="22" xfId="0" applyFill="1" applyBorder="1" applyAlignment="1">
      <alignment vertical="top"/>
    </xf>
    <xf numFmtId="0" fontId="0" fillId="0" borderId="0" xfId="0" applyBorder="1" applyAlignment="1">
      <alignment/>
    </xf>
    <xf numFmtId="0" fontId="0" fillId="0" borderId="22" xfId="0" applyFill="1" applyBorder="1" applyAlignment="1">
      <alignment/>
    </xf>
    <xf numFmtId="0" fontId="0" fillId="5" borderId="22" xfId="0" applyFill="1" applyBorder="1" applyAlignment="1">
      <alignment/>
    </xf>
    <xf numFmtId="0" fontId="0" fillId="0" borderId="0" xfId="0" applyAlignment="1">
      <alignment/>
    </xf>
    <xf numFmtId="15" fontId="0" fillId="0" borderId="22" xfId="0" applyNumberFormat="1" applyBorder="1" applyAlignment="1">
      <alignment/>
    </xf>
    <xf numFmtId="170" fontId="25" fillId="6" borderId="0" xfId="0" applyNumberFormat="1" applyFont="1" applyFill="1" applyBorder="1" applyAlignment="1">
      <alignment/>
    </xf>
    <xf numFmtId="0" fontId="24" fillId="0" borderId="60" xfId="0" applyFont="1" applyFill="1" applyBorder="1" applyAlignment="1">
      <alignment/>
    </xf>
    <xf numFmtId="164" fontId="3" fillId="0" borderId="6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24" fillId="0" borderId="62" xfId="0" applyFont="1" applyFill="1" applyBorder="1" applyAlignment="1">
      <alignment/>
    </xf>
    <xf numFmtId="164" fontId="3" fillId="0" borderId="63" xfId="0" applyNumberFormat="1" applyFont="1" applyFill="1" applyBorder="1" applyAlignment="1">
      <alignment/>
    </xf>
    <xf numFmtId="0" fontId="24" fillId="0" borderId="64" xfId="0" applyFont="1" applyFill="1" applyBorder="1" applyAlignment="1">
      <alignment/>
    </xf>
    <xf numFmtId="164" fontId="3" fillId="0" borderId="65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/>
    </xf>
    <xf numFmtId="0" fontId="25" fillId="6" borderId="66" xfId="0" applyFont="1" applyFill="1" applyBorder="1" applyAlignment="1">
      <alignment/>
    </xf>
    <xf numFmtId="170" fontId="25" fillId="6" borderId="66" xfId="0" applyNumberFormat="1" applyFont="1" applyFill="1" applyBorder="1" applyAlignment="1">
      <alignment/>
    </xf>
    <xf numFmtId="0" fontId="25" fillId="7" borderId="0" xfId="0" applyFont="1" applyFill="1" applyBorder="1" applyAlignment="1">
      <alignment/>
    </xf>
    <xf numFmtId="170" fontId="25" fillId="7" borderId="0" xfId="0" applyNumberFormat="1" applyFont="1" applyFill="1" applyBorder="1" applyAlignment="1">
      <alignment/>
    </xf>
    <xf numFmtId="0" fontId="26" fillId="8" borderId="0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/>
    </xf>
    <xf numFmtId="167" fontId="3" fillId="0" borderId="67" xfId="0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3" fillId="0" borderId="67" xfId="0" applyFont="1" applyFill="1" applyBorder="1" applyAlignment="1">
      <alignment horizontal="center" vertical="center" textRotation="90"/>
    </xf>
    <xf numFmtId="0" fontId="14" fillId="0" borderId="67" xfId="0" applyFont="1" applyFill="1" applyBorder="1" applyAlignment="1">
      <alignment/>
    </xf>
    <xf numFmtId="2" fontId="3" fillId="0" borderId="67" xfId="0" applyNumberFormat="1" applyFont="1" applyFill="1" applyBorder="1" applyAlignment="1">
      <alignment/>
    </xf>
    <xf numFmtId="164" fontId="4" fillId="0" borderId="67" xfId="0" applyNumberFormat="1" applyFont="1" applyFill="1" applyBorder="1" applyAlignment="1">
      <alignment/>
    </xf>
    <xf numFmtId="0" fontId="9" fillId="9" borderId="68" xfId="0" applyFont="1" applyFill="1" applyBorder="1" applyAlignment="1">
      <alignment horizontal="center"/>
    </xf>
    <xf numFmtId="43" fontId="0" fillId="0" borderId="22" xfId="15" applyBorder="1" applyAlignment="1">
      <alignment/>
    </xf>
    <xf numFmtId="4" fontId="3" fillId="0" borderId="22" xfId="0" applyNumberFormat="1" applyFont="1" applyBorder="1" applyAlignment="1">
      <alignment/>
    </xf>
    <xf numFmtId="0" fontId="27" fillId="0" borderId="0" xfId="19" applyAlignment="1">
      <alignment/>
    </xf>
    <xf numFmtId="0" fontId="28" fillId="0" borderId="0" xfId="0" applyFont="1" applyAlignment="1">
      <alignment/>
    </xf>
    <xf numFmtId="0" fontId="29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5" fillId="6" borderId="66" xfId="0" applyFont="1" applyFill="1" applyBorder="1" applyAlignment="1">
      <alignment/>
    </xf>
    <xf numFmtId="0" fontId="0" fillId="0" borderId="0" xfId="0" applyAlignment="1">
      <alignment horizontal="center"/>
    </xf>
    <xf numFmtId="0" fontId="26" fillId="8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3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9525</xdr:rowOff>
    </xdr:from>
    <xdr:to>
      <xdr:col>5</xdr:col>
      <xdr:colOff>142875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33525" y="9525"/>
          <a:ext cx="2562225" cy="466725"/>
        </a:xfrm>
        <a:prstGeom prst="rect">
          <a:avLst/>
        </a:prstGeom>
        <a:solidFill>
          <a:srgbClr val="00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DAFTAR PECAHAN UANG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PT DEDI &amp; ADELINA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guswur_smajenawi@yahoo.co.id" TargetMode="External" /><Relationship Id="rId2" Type="http://schemas.openxmlformats.org/officeDocument/2006/relationships/hyperlink" Target="mailto:aguswuryanto1974@gmail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zoomScale="125" zoomScaleNormal="125" workbookViewId="0" topLeftCell="A1">
      <selection activeCell="C16" sqref="C16:D16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3" width="16.28125" style="0" customWidth="1"/>
    <col min="4" max="4" width="17.00390625" style="0" customWidth="1"/>
    <col min="5" max="5" width="12.8515625" style="0" customWidth="1"/>
    <col min="6" max="6" width="11.140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4" ht="13.5" thickBot="1"/>
    <row r="5" spans="2:7" ht="14.25" thickBot="1" thickTop="1">
      <c r="B5" s="2" t="s">
        <v>0</v>
      </c>
      <c r="C5" s="2" t="s">
        <v>1</v>
      </c>
      <c r="D5" s="2" t="s">
        <v>2</v>
      </c>
      <c r="E5" s="3" t="s">
        <v>3</v>
      </c>
      <c r="F5" s="3"/>
      <c r="G5" s="4"/>
    </row>
    <row r="6" spans="2:7" ht="14.25" thickBot="1" thickTop="1">
      <c r="B6" s="5" t="s">
        <v>4</v>
      </c>
      <c r="C6" s="5" t="s">
        <v>2</v>
      </c>
      <c r="D6" s="5"/>
      <c r="E6" s="6">
        <v>20000</v>
      </c>
      <c r="F6" s="6">
        <v>5000</v>
      </c>
      <c r="G6" s="6">
        <v>100</v>
      </c>
    </row>
    <row r="7" spans="2:7" ht="14.25" thickBot="1" thickTop="1">
      <c r="B7" s="7"/>
      <c r="C7" s="8"/>
      <c r="D7" s="8"/>
      <c r="E7" s="8"/>
      <c r="F7" s="8"/>
      <c r="G7" s="8"/>
    </row>
    <row r="8" spans="2:7" ht="14.25" thickBot="1" thickTop="1">
      <c r="B8" s="125" t="s">
        <v>5</v>
      </c>
      <c r="C8" s="126">
        <v>345789</v>
      </c>
      <c r="D8" s="127">
        <f>ROUND(C8,-2)</f>
        <v>345800</v>
      </c>
      <c r="E8" s="9"/>
      <c r="F8" s="9"/>
      <c r="G8" s="10"/>
    </row>
    <row r="9" spans="2:7" ht="13.5" thickBot="1">
      <c r="B9" s="128" t="s">
        <v>6</v>
      </c>
      <c r="C9" s="129">
        <v>234678</v>
      </c>
      <c r="D9" s="127">
        <f aca="true" t="shared" si="0" ref="D9:D14">ROUND(C9,-2)</f>
        <v>234700</v>
      </c>
      <c r="E9" s="9"/>
      <c r="F9" s="9"/>
      <c r="G9" s="10"/>
    </row>
    <row r="10" spans="2:7" ht="13.5" thickBot="1">
      <c r="B10" s="128" t="s">
        <v>7</v>
      </c>
      <c r="C10" s="129">
        <v>145672</v>
      </c>
      <c r="D10" s="127">
        <f t="shared" si="0"/>
        <v>145700</v>
      </c>
      <c r="E10" s="9"/>
      <c r="F10" s="9"/>
      <c r="G10" s="10"/>
    </row>
    <row r="11" spans="2:7" ht="13.5" thickBot="1">
      <c r="B11" s="128" t="s">
        <v>8</v>
      </c>
      <c r="C11" s="129">
        <v>45679</v>
      </c>
      <c r="D11" s="127">
        <f t="shared" si="0"/>
        <v>45700</v>
      </c>
      <c r="E11" s="9"/>
      <c r="F11" s="9"/>
      <c r="G11" s="10"/>
    </row>
    <row r="12" spans="2:7" ht="13.5" thickBot="1">
      <c r="B12" s="128" t="s">
        <v>9</v>
      </c>
      <c r="C12" s="129">
        <v>245782</v>
      </c>
      <c r="D12" s="127">
        <f t="shared" si="0"/>
        <v>245800</v>
      </c>
      <c r="E12" s="9"/>
      <c r="F12" s="9"/>
      <c r="G12" s="10"/>
    </row>
    <row r="13" spans="2:7" ht="13.5" thickBot="1">
      <c r="B13" s="128" t="s">
        <v>10</v>
      </c>
      <c r="C13" s="129">
        <v>164532</v>
      </c>
      <c r="D13" s="127">
        <f t="shared" si="0"/>
        <v>164500</v>
      </c>
      <c r="E13" s="9"/>
      <c r="F13" s="9"/>
      <c r="G13" s="10"/>
    </row>
    <row r="14" spans="2:7" ht="13.5" thickBot="1">
      <c r="B14" s="130" t="s">
        <v>11</v>
      </c>
      <c r="C14" s="131">
        <v>34780</v>
      </c>
      <c r="D14" s="132">
        <f t="shared" si="0"/>
        <v>34800</v>
      </c>
      <c r="E14" s="11"/>
      <c r="F14" s="11"/>
      <c r="G14" s="12"/>
    </row>
    <row r="15" ht="14.25" thickBot="1" thickTop="1">
      <c r="B15" s="13"/>
    </row>
    <row r="16" spans="2:7" ht="14.25" thickBot="1" thickTop="1">
      <c r="B16" s="14" t="s">
        <v>12</v>
      </c>
      <c r="C16" s="133">
        <f>SUM(C8:C15)</f>
        <v>1216912</v>
      </c>
      <c r="D16" s="133">
        <f>SUM(D8:D15)</f>
        <v>1217000</v>
      </c>
      <c r="E16" s="15"/>
      <c r="F16" s="15"/>
      <c r="G16" s="15"/>
    </row>
    <row r="17" ht="13.5" thickTop="1"/>
    <row r="19" ht="12.75">
      <c r="B19" s="16" t="s">
        <v>13</v>
      </c>
    </row>
    <row r="20" ht="12.75">
      <c r="B20" s="17" t="s">
        <v>14</v>
      </c>
    </row>
    <row r="21" ht="12.75">
      <c r="B21" t="s">
        <v>15</v>
      </c>
    </row>
    <row r="22" ht="12.75">
      <c r="B22" s="17" t="s">
        <v>16</v>
      </c>
    </row>
    <row r="23" ht="12.75">
      <c r="B23" t="s">
        <v>17</v>
      </c>
    </row>
    <row r="24" ht="12.75">
      <c r="B24" s="17" t="s">
        <v>18</v>
      </c>
    </row>
    <row r="25" ht="12.75">
      <c r="B25" s="17" t="s">
        <v>19</v>
      </c>
    </row>
    <row r="26" ht="12.75">
      <c r="B26" s="17" t="s">
        <v>20</v>
      </c>
    </row>
    <row r="27" ht="12.75">
      <c r="B27" t="s">
        <v>21</v>
      </c>
    </row>
    <row r="28" ht="12.75">
      <c r="B28" s="17" t="s">
        <v>22</v>
      </c>
    </row>
  </sheetData>
  <printOptions/>
  <pageMargins left="0.75" right="0.7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4">
      <selection activeCell="H36" sqref="H36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13.57421875" style="0" customWidth="1"/>
    <col min="4" max="4" width="13.7109375" style="0" customWidth="1"/>
    <col min="5" max="5" width="13.421875" style="0" customWidth="1"/>
    <col min="6" max="7" width="13.00390625" style="0" customWidth="1"/>
    <col min="8" max="8" width="17.7109375" style="0" customWidth="1"/>
    <col min="9" max="9" width="18.57421875" style="0" customWidth="1"/>
    <col min="10" max="11" width="14.57421875" style="0" customWidth="1"/>
    <col min="13" max="13" width="14.140625" style="0" customWidth="1"/>
  </cols>
  <sheetData>
    <row r="1" spans="1:13" ht="15">
      <c r="A1" s="165" t="s">
        <v>314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.75">
      <c r="A2" s="113" t="s">
        <v>89</v>
      </c>
      <c r="B2" s="113" t="s">
        <v>315</v>
      </c>
      <c r="C2" s="113" t="s">
        <v>316</v>
      </c>
      <c r="D2" s="113" t="s">
        <v>317</v>
      </c>
      <c r="E2" s="113" t="s">
        <v>318</v>
      </c>
      <c r="F2" s="113" t="s">
        <v>319</v>
      </c>
      <c r="G2" s="113" t="s">
        <v>320</v>
      </c>
      <c r="H2" s="113" t="s">
        <v>321</v>
      </c>
      <c r="I2" s="113" t="s">
        <v>322</v>
      </c>
      <c r="J2" s="113" t="s">
        <v>241</v>
      </c>
      <c r="K2" s="113" t="s">
        <v>323</v>
      </c>
      <c r="L2" s="113" t="s">
        <v>324</v>
      </c>
      <c r="M2" s="113" t="s">
        <v>325</v>
      </c>
    </row>
    <row r="3" spans="1:13" ht="12.75">
      <c r="A3" s="114">
        <v>1</v>
      </c>
      <c r="B3" s="115" t="s">
        <v>296</v>
      </c>
      <c r="C3" s="115" t="s">
        <v>326</v>
      </c>
      <c r="D3" s="115" t="s">
        <v>327</v>
      </c>
      <c r="E3" s="116">
        <v>37350</v>
      </c>
      <c r="F3" s="116">
        <v>37356</v>
      </c>
      <c r="G3" s="117"/>
      <c r="H3" s="115"/>
      <c r="I3" s="115"/>
      <c r="J3" s="115"/>
      <c r="K3" s="115"/>
      <c r="L3" s="115"/>
      <c r="M3" s="115"/>
    </row>
    <row r="4" spans="1:13" ht="12.75">
      <c r="A4" s="114">
        <v>2</v>
      </c>
      <c r="B4" s="115" t="s">
        <v>328</v>
      </c>
      <c r="C4" s="115" t="s">
        <v>329</v>
      </c>
      <c r="D4" s="115" t="s">
        <v>330</v>
      </c>
      <c r="E4" s="116">
        <v>37352</v>
      </c>
      <c r="F4" s="116">
        <v>37357</v>
      </c>
      <c r="G4" s="117"/>
      <c r="H4" s="115"/>
      <c r="I4" s="115"/>
      <c r="J4" s="115"/>
      <c r="K4" s="115"/>
      <c r="L4" s="115"/>
      <c r="M4" s="115"/>
    </row>
    <row r="5" spans="1:13" ht="12.75">
      <c r="A5" s="114">
        <v>3</v>
      </c>
      <c r="B5" s="115" t="s">
        <v>331</v>
      </c>
      <c r="C5" s="115" t="s">
        <v>332</v>
      </c>
      <c r="D5" s="115" t="s">
        <v>333</v>
      </c>
      <c r="E5" s="116">
        <v>37353</v>
      </c>
      <c r="F5" s="116">
        <v>37354</v>
      </c>
      <c r="G5" s="117"/>
      <c r="H5" s="115"/>
      <c r="I5" s="115"/>
      <c r="J5" s="115"/>
      <c r="K5" s="115"/>
      <c r="L5" s="115"/>
      <c r="M5" s="115"/>
    </row>
    <row r="6" spans="1:13" ht="12.75">
      <c r="A6" s="114">
        <v>4</v>
      </c>
      <c r="B6" s="115" t="s">
        <v>334</v>
      </c>
      <c r="C6" s="115" t="s">
        <v>335</v>
      </c>
      <c r="D6" s="115" t="s">
        <v>327</v>
      </c>
      <c r="E6" s="116">
        <v>37356</v>
      </c>
      <c r="F6" s="116">
        <v>37366</v>
      </c>
      <c r="G6" s="117"/>
      <c r="H6" s="115"/>
      <c r="I6" s="115"/>
      <c r="J6" s="115"/>
      <c r="K6" s="115"/>
      <c r="L6" s="115"/>
      <c r="M6" s="115"/>
    </row>
    <row r="7" spans="1:13" ht="12.75">
      <c r="A7" s="114">
        <v>5</v>
      </c>
      <c r="B7" s="115" t="s">
        <v>336</v>
      </c>
      <c r="C7" s="115" t="s">
        <v>332</v>
      </c>
      <c r="D7" s="115" t="s">
        <v>330</v>
      </c>
      <c r="E7" s="116">
        <v>37351</v>
      </c>
      <c r="F7" s="116">
        <v>37367</v>
      </c>
      <c r="G7" s="117"/>
      <c r="H7" s="115"/>
      <c r="I7" s="115"/>
      <c r="J7" s="115"/>
      <c r="K7" s="115"/>
      <c r="L7" s="115"/>
      <c r="M7" s="115"/>
    </row>
    <row r="8" spans="1:13" ht="12.75">
      <c r="A8" s="114">
        <v>6</v>
      </c>
      <c r="B8" s="115" t="s">
        <v>337</v>
      </c>
      <c r="C8" s="115" t="s">
        <v>326</v>
      </c>
      <c r="D8" s="115" t="s">
        <v>338</v>
      </c>
      <c r="E8" s="116">
        <v>37357</v>
      </c>
      <c r="F8" s="116">
        <v>37361</v>
      </c>
      <c r="G8" s="117"/>
      <c r="H8" s="115"/>
      <c r="I8" s="115"/>
      <c r="J8" s="115"/>
      <c r="K8" s="115"/>
      <c r="L8" s="115"/>
      <c r="M8" s="115"/>
    </row>
    <row r="9" spans="1:13" ht="12.75">
      <c r="A9" s="114">
        <v>7</v>
      </c>
      <c r="B9" s="115" t="s">
        <v>339</v>
      </c>
      <c r="C9" s="115" t="s">
        <v>329</v>
      </c>
      <c r="D9" s="115" t="s">
        <v>338</v>
      </c>
      <c r="E9" s="116">
        <v>37349</v>
      </c>
      <c r="F9" s="116">
        <v>37364</v>
      </c>
      <c r="G9" s="117"/>
      <c r="H9" s="115"/>
      <c r="I9" s="115"/>
      <c r="J9" s="115"/>
      <c r="K9" s="115"/>
      <c r="L9" s="115"/>
      <c r="M9" s="115"/>
    </row>
    <row r="10" spans="1:13" ht="12.75">
      <c r="A10" s="114">
        <v>8</v>
      </c>
      <c r="B10" s="115" t="s">
        <v>340</v>
      </c>
      <c r="C10" s="115" t="s">
        <v>335</v>
      </c>
      <c r="D10" s="115" t="s">
        <v>333</v>
      </c>
      <c r="E10" s="116">
        <v>37352</v>
      </c>
      <c r="F10" s="116">
        <v>37361</v>
      </c>
      <c r="G10" s="117"/>
      <c r="H10" s="115"/>
      <c r="I10" s="115"/>
      <c r="J10" s="115"/>
      <c r="K10" s="115"/>
      <c r="L10" s="115"/>
      <c r="M10" s="115"/>
    </row>
    <row r="11" spans="1:13" ht="12.75">
      <c r="A11" s="114">
        <v>9</v>
      </c>
      <c r="B11" s="115" t="s">
        <v>341</v>
      </c>
      <c r="C11" s="115" t="s">
        <v>332</v>
      </c>
      <c r="D11" s="115" t="s">
        <v>330</v>
      </c>
      <c r="E11" s="116">
        <v>37357</v>
      </c>
      <c r="F11" s="116">
        <v>37359</v>
      </c>
      <c r="G11" s="117"/>
      <c r="H11" s="115"/>
      <c r="I11" s="115"/>
      <c r="J11" s="115"/>
      <c r="K11" s="115"/>
      <c r="L11" s="115"/>
      <c r="M11" s="115"/>
    </row>
    <row r="12" spans="1:13" ht="12.75">
      <c r="A12" s="114">
        <v>10</v>
      </c>
      <c r="B12" s="115" t="s">
        <v>342</v>
      </c>
      <c r="C12" s="115" t="s">
        <v>326</v>
      </c>
      <c r="D12" s="115" t="s">
        <v>327</v>
      </c>
      <c r="E12" s="116">
        <v>37353</v>
      </c>
      <c r="F12" s="116">
        <v>37355</v>
      </c>
      <c r="G12" s="117"/>
      <c r="H12" s="115"/>
      <c r="I12" s="115"/>
      <c r="J12" s="115"/>
      <c r="K12" s="115"/>
      <c r="L12" s="115"/>
      <c r="M12" s="115"/>
    </row>
    <row r="13" spans="1:13" ht="12.75">
      <c r="A13" s="114">
        <v>11</v>
      </c>
      <c r="B13" s="115" t="s">
        <v>343</v>
      </c>
      <c r="C13" s="115" t="s">
        <v>329</v>
      </c>
      <c r="D13" s="115" t="s">
        <v>333</v>
      </c>
      <c r="E13" s="116">
        <v>37358</v>
      </c>
      <c r="F13" s="116">
        <v>37366</v>
      </c>
      <c r="G13" s="117"/>
      <c r="H13" s="115"/>
      <c r="I13" s="115"/>
      <c r="J13" s="115"/>
      <c r="K13" s="115"/>
      <c r="L13" s="115"/>
      <c r="M13" s="115"/>
    </row>
    <row r="14" spans="1:13" ht="12.75">
      <c r="A14" s="114">
        <v>12</v>
      </c>
      <c r="B14" s="115" t="s">
        <v>344</v>
      </c>
      <c r="C14" s="115" t="s">
        <v>332</v>
      </c>
      <c r="D14" s="115" t="s">
        <v>330</v>
      </c>
      <c r="E14" s="116">
        <v>37349</v>
      </c>
      <c r="F14" s="116">
        <v>37366</v>
      </c>
      <c r="G14" s="117"/>
      <c r="H14" s="115"/>
      <c r="I14" s="115"/>
      <c r="J14" s="115"/>
      <c r="K14" s="115"/>
      <c r="L14" s="115"/>
      <c r="M14" s="115"/>
    </row>
    <row r="15" spans="1:13" ht="12.75">
      <c r="A15" s="114">
        <v>13</v>
      </c>
      <c r="B15" s="115" t="s">
        <v>345</v>
      </c>
      <c r="C15" s="115" t="s">
        <v>335</v>
      </c>
      <c r="D15" s="115" t="s">
        <v>327</v>
      </c>
      <c r="E15" s="116">
        <v>37356</v>
      </c>
      <c r="F15" s="116">
        <v>37363</v>
      </c>
      <c r="G15" s="117"/>
      <c r="H15" s="115"/>
      <c r="I15" s="115"/>
      <c r="J15" s="115"/>
      <c r="K15" s="115"/>
      <c r="L15" s="115"/>
      <c r="M15" s="115"/>
    </row>
    <row r="16" spans="1:13" ht="12.75">
      <c r="A16" s="114">
        <v>14</v>
      </c>
      <c r="B16" s="115" t="s">
        <v>346</v>
      </c>
      <c r="C16" s="115" t="s">
        <v>326</v>
      </c>
      <c r="D16" s="115" t="s">
        <v>333</v>
      </c>
      <c r="E16" s="116">
        <v>37360</v>
      </c>
      <c r="F16" s="116">
        <v>37361</v>
      </c>
      <c r="G16" s="117"/>
      <c r="H16" s="115"/>
      <c r="I16" s="115"/>
      <c r="J16" s="115"/>
      <c r="K16" s="115"/>
      <c r="L16" s="115"/>
      <c r="M16" s="115"/>
    </row>
    <row r="17" spans="1:13" ht="12.75">
      <c r="A17" s="114">
        <v>15</v>
      </c>
      <c r="B17" s="115" t="s">
        <v>347</v>
      </c>
      <c r="C17" s="115" t="s">
        <v>329</v>
      </c>
      <c r="D17" s="115" t="s">
        <v>338</v>
      </c>
      <c r="E17" s="116">
        <v>37349</v>
      </c>
      <c r="F17" s="116">
        <v>37358</v>
      </c>
      <c r="G17" s="117"/>
      <c r="H17" s="115"/>
      <c r="I17" s="115"/>
      <c r="J17" s="115"/>
      <c r="K17" s="115"/>
      <c r="L17" s="115"/>
      <c r="M17" s="115"/>
    </row>
    <row r="18" spans="1:13" ht="12.75">
      <c r="A18" s="167" t="s">
        <v>348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18"/>
      <c r="L18" s="119"/>
      <c r="M18" s="119"/>
    </row>
    <row r="19" spans="1:13" ht="12.75">
      <c r="A19" s="164" t="s">
        <v>349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20"/>
      <c r="L19" s="119"/>
      <c r="M19" s="119"/>
    </row>
    <row r="20" spans="1:13" ht="12.75">
      <c r="A20" s="167" t="s">
        <v>350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21"/>
      <c r="L20" s="119"/>
      <c r="M20" s="119"/>
    </row>
    <row r="21" spans="1:13" ht="12.75">
      <c r="A21" s="164" t="s">
        <v>351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20"/>
      <c r="L21" s="119"/>
      <c r="M21" s="119"/>
    </row>
    <row r="22" spans="1:13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3" ht="12.75">
      <c r="A23" s="122" t="s">
        <v>352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  <row r="24" spans="1:13" ht="12.75">
      <c r="A24" s="122">
        <v>1</v>
      </c>
      <c r="B24" s="122" t="s">
        <v>353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3" ht="12.75">
      <c r="A25" s="122">
        <v>2</v>
      </c>
      <c r="B25" s="122" t="s">
        <v>354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spans="1:13" ht="12.75">
      <c r="A26" s="122"/>
      <c r="B26" s="122" t="s">
        <v>355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3" ht="12.75">
      <c r="A27" s="122">
        <v>3</v>
      </c>
      <c r="B27" s="122" t="s">
        <v>356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ht="12.75">
      <c r="A28" s="122">
        <v>4</v>
      </c>
      <c r="B28" s="122" t="s">
        <v>357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</row>
    <row r="29" spans="1:13" ht="12.75">
      <c r="A29" s="122"/>
      <c r="B29" s="122" t="s">
        <v>358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</row>
    <row r="30" spans="1:13" ht="12.75">
      <c r="A30" s="122"/>
      <c r="B30" s="122" t="s">
        <v>359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3" ht="12.75">
      <c r="A31" s="122"/>
      <c r="B31" s="122" t="s">
        <v>360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3" ht="12.75">
      <c r="A32" s="122"/>
      <c r="B32" s="122" t="s">
        <v>361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2.75">
      <c r="A33" s="122"/>
      <c r="B33" s="122" t="s">
        <v>362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2.75">
      <c r="A34" s="122">
        <v>5</v>
      </c>
      <c r="B34" s="122" t="s">
        <v>363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1:13" ht="12.75">
      <c r="A35" s="122">
        <v>6</v>
      </c>
      <c r="B35" s="122" t="s">
        <v>364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ht="12.75">
      <c r="A36" s="122"/>
      <c r="B36" s="122" t="s">
        <v>365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12.75">
      <c r="A37" s="122"/>
      <c r="B37" s="122" t="s">
        <v>366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ht="12.75">
      <c r="A38" s="122"/>
      <c r="B38" s="122" t="s">
        <v>367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 ht="12.75">
      <c r="A39" s="122">
        <v>7</v>
      </c>
      <c r="B39" s="122" t="s">
        <v>368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ht="12.75">
      <c r="A40" s="122"/>
      <c r="B40" s="122" t="s">
        <v>369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</sheetData>
  <mergeCells count="5">
    <mergeCell ref="A21:J21"/>
    <mergeCell ref="A1:M1"/>
    <mergeCell ref="A18:J18"/>
    <mergeCell ref="A19:J19"/>
    <mergeCell ref="A20:J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K33" sqref="K33"/>
    </sheetView>
  </sheetViews>
  <sheetFormatPr defaultColWidth="9.140625" defaultRowHeight="12.75"/>
  <cols>
    <col min="1" max="1" width="5.57421875" style="0" customWidth="1"/>
    <col min="2" max="2" width="13.57421875" style="0" customWidth="1"/>
    <col min="3" max="3" width="13.00390625" style="0" customWidth="1"/>
    <col min="4" max="4" width="12.00390625" style="0" customWidth="1"/>
    <col min="5" max="5" width="10.8515625" style="0" customWidth="1"/>
    <col min="6" max="7" width="12.00390625" style="0" customWidth="1"/>
    <col min="8" max="8" width="11.28125" style="0" customWidth="1"/>
    <col min="9" max="9" width="14.140625" style="0" customWidth="1"/>
    <col min="10" max="10" width="11.28125" style="0" customWidth="1"/>
    <col min="11" max="11" width="10.8515625" style="0" customWidth="1"/>
    <col min="12" max="12" width="11.140625" style="0" customWidth="1"/>
    <col min="13" max="13" width="12.140625" style="0" customWidth="1"/>
  </cols>
  <sheetData>
    <row r="1" spans="1:13" ht="12.75">
      <c r="A1" s="157" t="s">
        <v>370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2.75">
      <c r="A2" s="157" t="s">
        <v>371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4" spans="1:13" ht="12.75">
      <c r="A4" s="159" t="s">
        <v>89</v>
      </c>
      <c r="B4" s="104" t="s">
        <v>287</v>
      </c>
      <c r="C4" s="159" t="s">
        <v>372</v>
      </c>
      <c r="D4" s="104" t="s">
        <v>373</v>
      </c>
      <c r="E4" s="104" t="s">
        <v>374</v>
      </c>
      <c r="F4" s="104" t="s">
        <v>374</v>
      </c>
      <c r="G4" s="104" t="s">
        <v>27</v>
      </c>
      <c r="H4" s="104" t="s">
        <v>94</v>
      </c>
      <c r="I4" s="104" t="s">
        <v>375</v>
      </c>
      <c r="J4" s="104" t="s">
        <v>376</v>
      </c>
      <c r="K4" s="159" t="s">
        <v>324</v>
      </c>
      <c r="L4" s="159" t="s">
        <v>377</v>
      </c>
      <c r="M4" s="104" t="s">
        <v>378</v>
      </c>
    </row>
    <row r="5" spans="1:13" ht="12.75">
      <c r="A5" s="160"/>
      <c r="B5" s="105" t="s">
        <v>28</v>
      </c>
      <c r="C5" s="160"/>
      <c r="D5" s="105" t="s">
        <v>30</v>
      </c>
      <c r="E5" s="105" t="s">
        <v>379</v>
      </c>
      <c r="F5" s="105" t="s">
        <v>380</v>
      </c>
      <c r="G5" s="105" t="s">
        <v>379</v>
      </c>
      <c r="H5" s="105" t="s">
        <v>381</v>
      </c>
      <c r="I5" s="105" t="s">
        <v>221</v>
      </c>
      <c r="J5" s="105" t="s">
        <v>382</v>
      </c>
      <c r="K5" s="160"/>
      <c r="L5" s="160"/>
      <c r="M5" s="105" t="s">
        <v>383</v>
      </c>
    </row>
    <row r="6" spans="1:13" ht="12.75">
      <c r="A6" s="106">
        <v>1</v>
      </c>
      <c r="B6" s="32" t="s">
        <v>384</v>
      </c>
      <c r="C6" s="32" t="s">
        <v>385</v>
      </c>
      <c r="D6" s="123">
        <v>37855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2.75">
      <c r="A7" s="106">
        <v>2</v>
      </c>
      <c r="B7" s="32" t="s">
        <v>386</v>
      </c>
      <c r="C7" s="32" t="s">
        <v>387</v>
      </c>
      <c r="D7" s="123">
        <v>37988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2.75">
      <c r="A8" s="106">
        <v>3</v>
      </c>
      <c r="B8" s="32" t="s">
        <v>388</v>
      </c>
      <c r="C8" s="32" t="s">
        <v>389</v>
      </c>
      <c r="D8" s="123">
        <v>38029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2.75">
      <c r="A9" s="106">
        <v>4</v>
      </c>
      <c r="B9" s="32" t="s">
        <v>390</v>
      </c>
      <c r="C9" s="32" t="s">
        <v>304</v>
      </c>
      <c r="D9" s="123">
        <v>37599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106">
        <v>5</v>
      </c>
      <c r="B10" s="32" t="s">
        <v>386</v>
      </c>
      <c r="C10" s="32" t="s">
        <v>391</v>
      </c>
      <c r="D10" s="123">
        <v>37300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106">
        <v>6</v>
      </c>
      <c r="B11" s="32" t="s">
        <v>384</v>
      </c>
      <c r="C11" s="32" t="s">
        <v>392</v>
      </c>
      <c r="D11" s="123">
        <v>36954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2.75">
      <c r="A12" s="106">
        <v>7</v>
      </c>
      <c r="B12" s="32" t="s">
        <v>390</v>
      </c>
      <c r="C12" s="32" t="s">
        <v>393</v>
      </c>
      <c r="D12" s="123">
        <v>37742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2.75">
      <c r="A13" s="106">
        <v>8</v>
      </c>
      <c r="B13" s="32" t="s">
        <v>384</v>
      </c>
      <c r="C13" s="32" t="s">
        <v>394</v>
      </c>
      <c r="D13" s="123">
        <v>36983</v>
      </c>
      <c r="E13" s="32"/>
      <c r="F13" s="32"/>
      <c r="G13" s="32"/>
      <c r="H13" s="32"/>
      <c r="I13" s="32"/>
      <c r="J13" s="32"/>
      <c r="K13" s="32"/>
      <c r="L13" s="32"/>
      <c r="M13" s="32"/>
    </row>
    <row r="16" ht="12.75">
      <c r="B16" t="s">
        <v>395</v>
      </c>
    </row>
    <row r="17" spans="2:3" ht="12.75">
      <c r="B17" t="s">
        <v>396</v>
      </c>
      <c r="C17" t="s">
        <v>397</v>
      </c>
    </row>
    <row r="18" spans="2:9" ht="12.75">
      <c r="B18" s="32"/>
      <c r="C18" s="32" t="s">
        <v>398</v>
      </c>
      <c r="D18" s="32" t="s">
        <v>399</v>
      </c>
      <c r="F18" t="s">
        <v>400</v>
      </c>
      <c r="I18" t="s">
        <v>401</v>
      </c>
    </row>
    <row r="19" spans="2:9" ht="12.75">
      <c r="B19" s="32" t="s">
        <v>402</v>
      </c>
      <c r="C19" s="32">
        <v>20000000</v>
      </c>
      <c r="D19" s="32">
        <v>25000000</v>
      </c>
      <c r="F19" t="s">
        <v>403</v>
      </c>
      <c r="I19" t="s">
        <v>404</v>
      </c>
    </row>
    <row r="20" spans="2:9" ht="12.75">
      <c r="B20" s="32" t="s">
        <v>405</v>
      </c>
      <c r="C20" s="32">
        <v>17000000</v>
      </c>
      <c r="D20" s="32">
        <v>20000000</v>
      </c>
      <c r="G20" t="s">
        <v>406</v>
      </c>
      <c r="I20" t="s">
        <v>407</v>
      </c>
    </row>
    <row r="21" spans="2:9" ht="12.75">
      <c r="B21" s="32" t="s">
        <v>408</v>
      </c>
      <c r="C21" s="32">
        <v>17500000</v>
      </c>
      <c r="D21" s="32">
        <v>23000000</v>
      </c>
      <c r="G21" t="s">
        <v>409</v>
      </c>
      <c r="I21" t="s">
        <v>410</v>
      </c>
    </row>
    <row r="22" spans="2:7" ht="12.75">
      <c r="B22" s="32" t="s">
        <v>411</v>
      </c>
      <c r="C22" s="32">
        <v>12500000</v>
      </c>
      <c r="D22" s="32">
        <v>14000000</v>
      </c>
      <c r="G22" t="s">
        <v>412</v>
      </c>
    </row>
    <row r="23" ht="12.75">
      <c r="G23" t="s">
        <v>413</v>
      </c>
    </row>
    <row r="24" ht="12.75">
      <c r="F24" t="s">
        <v>414</v>
      </c>
    </row>
    <row r="25" ht="12.75">
      <c r="G25" t="s">
        <v>415</v>
      </c>
    </row>
    <row r="26" ht="12.75">
      <c r="G26" t="s">
        <v>416</v>
      </c>
    </row>
    <row r="27" ht="12.75">
      <c r="F27" t="s">
        <v>417</v>
      </c>
    </row>
    <row r="28" ht="12.75">
      <c r="F28" t="s">
        <v>418</v>
      </c>
    </row>
    <row r="29" ht="12.75">
      <c r="F29" t="s">
        <v>419</v>
      </c>
    </row>
    <row r="30" ht="12.75">
      <c r="F30" t="s">
        <v>420</v>
      </c>
    </row>
    <row r="31" ht="12.75">
      <c r="F31" t="s">
        <v>421</v>
      </c>
    </row>
    <row r="32" ht="12.75">
      <c r="F32" t="s">
        <v>422</v>
      </c>
    </row>
    <row r="33" ht="12.75">
      <c r="F33" t="s">
        <v>423</v>
      </c>
    </row>
    <row r="34" ht="12.75">
      <c r="F34" t="s">
        <v>424</v>
      </c>
    </row>
    <row r="35" ht="12.75">
      <c r="F35" t="s">
        <v>425</v>
      </c>
    </row>
    <row r="36" ht="12.75">
      <c r="F36" t="s">
        <v>426</v>
      </c>
    </row>
  </sheetData>
  <mergeCells count="6">
    <mergeCell ref="A1:M1"/>
    <mergeCell ref="A2:M2"/>
    <mergeCell ref="A4:A5"/>
    <mergeCell ref="C4:C5"/>
    <mergeCell ref="K4:K5"/>
    <mergeCell ref="L4:L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H11" sqref="H11"/>
    </sheetView>
  </sheetViews>
  <sheetFormatPr defaultColWidth="9.140625" defaultRowHeight="12.75"/>
  <cols>
    <col min="3" max="3" width="14.28125" style="0" customWidth="1"/>
    <col min="5" max="5" width="17.7109375" style="0" customWidth="1"/>
  </cols>
  <sheetData>
    <row r="1" spans="1:5" ht="13.5" thickBot="1">
      <c r="A1" s="18"/>
      <c r="B1" s="18"/>
      <c r="C1" s="19"/>
      <c r="D1" s="18"/>
      <c r="E1" s="18"/>
    </row>
    <row r="2" spans="1:4" ht="12.75">
      <c r="A2" s="20" t="s">
        <v>23</v>
      </c>
      <c r="B2" s="21"/>
      <c r="C2" s="22"/>
      <c r="D2" s="23"/>
    </row>
    <row r="3" spans="1:4" ht="12.75">
      <c r="A3" s="24" t="s">
        <v>24</v>
      </c>
      <c r="B3" s="25"/>
      <c r="C3" s="26"/>
      <c r="D3" s="23"/>
    </row>
    <row r="4" spans="1:4" ht="13.5" thickBot="1">
      <c r="A4" s="27" t="s">
        <v>25</v>
      </c>
      <c r="B4" s="28"/>
      <c r="C4" s="29"/>
      <c r="D4" s="23"/>
    </row>
    <row r="6" spans="1:5" ht="12.75">
      <c r="A6" s="30" t="s">
        <v>26</v>
      </c>
      <c r="B6" s="30" t="s">
        <v>0</v>
      </c>
      <c r="C6" s="30" t="s">
        <v>27</v>
      </c>
      <c r="D6" s="30" t="s">
        <v>12</v>
      </c>
      <c r="E6" s="30" t="s">
        <v>27</v>
      </c>
    </row>
    <row r="7" spans="1:5" ht="12.75">
      <c r="A7" s="31" t="s">
        <v>28</v>
      </c>
      <c r="B7" s="31" t="s">
        <v>28</v>
      </c>
      <c r="C7" s="31" t="s">
        <v>29</v>
      </c>
      <c r="D7" s="31" t="s">
        <v>30</v>
      </c>
      <c r="E7" s="31" t="s">
        <v>28</v>
      </c>
    </row>
    <row r="8" spans="1:5" ht="12.75">
      <c r="A8" s="32" t="s">
        <v>31</v>
      </c>
      <c r="B8" s="32" t="s">
        <v>32</v>
      </c>
      <c r="C8" s="33">
        <v>35400</v>
      </c>
      <c r="D8" s="34">
        <v>15</v>
      </c>
      <c r="E8" s="33">
        <f aca="true" t="shared" si="0" ref="E8:E13">C8*D8</f>
        <v>531000</v>
      </c>
    </row>
    <row r="9" spans="1:5" ht="12.75">
      <c r="A9" s="32" t="s">
        <v>33</v>
      </c>
      <c r="B9" s="32" t="s">
        <v>34</v>
      </c>
      <c r="C9" s="33">
        <v>78900</v>
      </c>
      <c r="D9" s="34">
        <v>18</v>
      </c>
      <c r="E9" s="33">
        <f t="shared" si="0"/>
        <v>1420200</v>
      </c>
    </row>
    <row r="10" spans="1:5" ht="12.75">
      <c r="A10" s="32" t="s">
        <v>35</v>
      </c>
      <c r="B10" s="32" t="s">
        <v>36</v>
      </c>
      <c r="C10" s="33">
        <v>12500</v>
      </c>
      <c r="D10" s="34">
        <v>21</v>
      </c>
      <c r="E10" s="33">
        <f t="shared" si="0"/>
        <v>262500</v>
      </c>
    </row>
    <row r="11" spans="1:5" ht="12.75">
      <c r="A11" s="32" t="s">
        <v>37</v>
      </c>
      <c r="B11" s="32" t="s">
        <v>38</v>
      </c>
      <c r="C11" s="33">
        <v>15700</v>
      </c>
      <c r="D11" s="34">
        <v>14</v>
      </c>
      <c r="E11" s="33">
        <f t="shared" si="0"/>
        <v>219800</v>
      </c>
    </row>
    <row r="12" spans="1:5" ht="12.75">
      <c r="A12" s="32" t="s">
        <v>39</v>
      </c>
      <c r="B12" s="32" t="s">
        <v>40</v>
      </c>
      <c r="C12" s="33">
        <v>26800</v>
      </c>
      <c r="D12" s="34">
        <v>24</v>
      </c>
      <c r="E12" s="33">
        <f t="shared" si="0"/>
        <v>643200</v>
      </c>
    </row>
    <row r="13" spans="1:5" ht="12.75">
      <c r="A13" s="32" t="s">
        <v>41</v>
      </c>
      <c r="B13" s="32" t="s">
        <v>42</v>
      </c>
      <c r="C13" s="33">
        <v>64500</v>
      </c>
      <c r="D13" s="34">
        <v>13</v>
      </c>
      <c r="E13" s="33">
        <f t="shared" si="0"/>
        <v>838500</v>
      </c>
    </row>
    <row r="14" ht="13.5" thickBot="1">
      <c r="E14" s="35"/>
    </row>
    <row r="15" spans="4:5" ht="13.5" thickBot="1">
      <c r="D15" s="36" t="s">
        <v>43</v>
      </c>
      <c r="E15" s="37">
        <f>SUM(E8:E14)</f>
        <v>3915200</v>
      </c>
    </row>
    <row r="16" ht="13.5" thickBot="1"/>
    <row r="17" spans="1:5" ht="12.75">
      <c r="A17" s="38" t="s">
        <v>44</v>
      </c>
      <c r="B17" s="39"/>
      <c r="C17" s="40"/>
      <c r="E17" s="41"/>
    </row>
    <row r="18" spans="1:5" ht="12.75">
      <c r="A18" s="42" t="s">
        <v>45</v>
      </c>
      <c r="B18" s="43"/>
      <c r="C18" s="44"/>
      <c r="E18" s="45">
        <f>COUNT(E8:E13)</f>
        <v>6</v>
      </c>
    </row>
    <row r="19" spans="1:5" ht="12.75">
      <c r="A19" s="42" t="s">
        <v>46</v>
      </c>
      <c r="B19" s="43"/>
      <c r="C19" s="44"/>
      <c r="E19" s="46">
        <f>MAX(E8:E13)</f>
        <v>1420200</v>
      </c>
    </row>
    <row r="20" spans="1:5" ht="12.75">
      <c r="A20" s="42" t="s">
        <v>47</v>
      </c>
      <c r="B20" s="43"/>
      <c r="C20" s="44"/>
      <c r="E20" s="46">
        <f>MIN(E8:E13)</f>
        <v>219800</v>
      </c>
    </row>
    <row r="21" spans="1:5" ht="13.5" thickBot="1">
      <c r="A21" s="47" t="s">
        <v>48</v>
      </c>
      <c r="B21" s="48"/>
      <c r="C21" s="49"/>
      <c r="E21" s="50">
        <f>AVERAGE(E8:E13)</f>
        <v>652533.3333333334</v>
      </c>
    </row>
    <row r="23" ht="12.75">
      <c r="A23" s="16" t="s">
        <v>13</v>
      </c>
    </row>
    <row r="24" ht="12.75">
      <c r="A24" s="17" t="s">
        <v>49</v>
      </c>
    </row>
    <row r="25" ht="12.75">
      <c r="A25" t="s">
        <v>50</v>
      </c>
    </row>
    <row r="26" ht="12.75">
      <c r="A26" s="17" t="s">
        <v>51</v>
      </c>
    </row>
    <row r="27" ht="12.75">
      <c r="A27" s="17" t="s">
        <v>52</v>
      </c>
    </row>
    <row r="28" ht="12.75">
      <c r="A28" s="17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s="17" t="s">
        <v>62</v>
      </c>
    </row>
  </sheetData>
  <printOptions/>
  <pageMargins left="0.75" right="0.75" top="1" bottom="1" header="0.5" footer="0.5"/>
  <pageSetup orientation="portrait" paperSize="9"/>
  <legacyDrawing r:id="rId2"/>
  <oleObjects>
    <oleObject progId="MS_ClipArt_Gallery.2" shapeId="1028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G12" sqref="G12"/>
    </sheetView>
  </sheetViews>
  <sheetFormatPr defaultColWidth="9.140625" defaultRowHeight="12.75"/>
  <cols>
    <col min="3" max="3" width="12.7109375" style="0" customWidth="1"/>
    <col min="4" max="4" width="12.57421875" style="0" customWidth="1"/>
    <col min="5" max="5" width="12.7109375" style="0" customWidth="1"/>
    <col min="6" max="6" width="13.57421875" style="0" customWidth="1"/>
  </cols>
  <sheetData>
    <row r="1" spans="2:6" ht="13.5" thickBot="1">
      <c r="B1" s="51" t="s">
        <v>63</v>
      </c>
      <c r="C1" s="51" t="s">
        <v>64</v>
      </c>
      <c r="D1" s="51" t="s">
        <v>65</v>
      </c>
      <c r="E1" s="51" t="s">
        <v>66</v>
      </c>
      <c r="F1" s="52" t="s">
        <v>67</v>
      </c>
    </row>
    <row r="2" spans="2:6" ht="13.5" thickBot="1">
      <c r="B2" s="18"/>
      <c r="C2" s="18"/>
      <c r="D2" s="18"/>
      <c r="E2" s="18"/>
      <c r="F2" s="18"/>
    </row>
    <row r="3" spans="1:6" ht="19.5" thickTop="1">
      <c r="A3" s="53">
        <v>1</v>
      </c>
      <c r="B3" s="54" t="s">
        <v>68</v>
      </c>
      <c r="C3" s="54"/>
      <c r="D3" s="54"/>
      <c r="E3" s="54"/>
      <c r="F3" s="55"/>
    </row>
    <row r="4" spans="1:6" ht="19.5" thickBot="1">
      <c r="A4" s="56">
        <v>2</v>
      </c>
      <c r="B4" s="57" t="s">
        <v>69</v>
      </c>
      <c r="C4" s="57"/>
      <c r="D4" s="57"/>
      <c r="E4" s="57"/>
      <c r="F4" s="58"/>
    </row>
    <row r="5" spans="1:6" ht="14.25" thickBot="1" thickTop="1">
      <c r="A5" s="56">
        <v>3</v>
      </c>
      <c r="B5" s="59"/>
      <c r="C5" s="60"/>
      <c r="D5" s="61"/>
      <c r="E5" s="61"/>
      <c r="F5" s="61"/>
    </row>
    <row r="6" spans="1:6" ht="14.25" thickTop="1">
      <c r="A6" s="62">
        <v>4</v>
      </c>
      <c r="B6" s="63" t="s">
        <v>70</v>
      </c>
      <c r="C6" s="63" t="s">
        <v>71</v>
      </c>
      <c r="D6" s="63" t="s">
        <v>72</v>
      </c>
      <c r="E6" s="63" t="s">
        <v>73</v>
      </c>
      <c r="F6" s="63" t="s">
        <v>12</v>
      </c>
    </row>
    <row r="7" spans="1:6" ht="14.25" thickBot="1">
      <c r="A7" s="62">
        <v>5</v>
      </c>
      <c r="B7" s="64"/>
      <c r="C7" s="64" t="s">
        <v>74</v>
      </c>
      <c r="D7" s="64" t="s">
        <v>75</v>
      </c>
      <c r="E7" s="64" t="s">
        <v>76</v>
      </c>
      <c r="F7" s="64"/>
    </row>
    <row r="8" ht="14.25" thickBot="1" thickTop="1">
      <c r="A8" s="56">
        <v>6</v>
      </c>
    </row>
    <row r="9" spans="1:6" ht="13.5" thickBot="1">
      <c r="A9" s="56">
        <v>7</v>
      </c>
      <c r="B9" s="65">
        <v>1990</v>
      </c>
      <c r="C9" s="66">
        <v>12500</v>
      </c>
      <c r="D9" s="66">
        <v>4566</v>
      </c>
      <c r="E9" s="66">
        <v>1041</v>
      </c>
      <c r="F9" s="66">
        <f aca="true" t="shared" si="0" ref="F9:F17">SUM(C9:E9)</f>
        <v>18107</v>
      </c>
    </row>
    <row r="10" spans="1:6" ht="13.5" thickBot="1">
      <c r="A10" s="56">
        <v>8</v>
      </c>
      <c r="B10" s="65">
        <v>1991</v>
      </c>
      <c r="C10" s="66">
        <v>1346</v>
      </c>
      <c r="D10" s="66">
        <v>4666</v>
      </c>
      <c r="E10" s="66">
        <v>5664</v>
      </c>
      <c r="F10" s="66">
        <f t="shared" si="0"/>
        <v>11676</v>
      </c>
    </row>
    <row r="11" spans="1:6" ht="13.5" thickBot="1">
      <c r="A11" s="56">
        <v>9</v>
      </c>
      <c r="B11" s="65">
        <v>1992</v>
      </c>
      <c r="C11" s="66">
        <v>32589</v>
      </c>
      <c r="D11" s="66">
        <v>3555</v>
      </c>
      <c r="E11" s="66">
        <v>4535</v>
      </c>
      <c r="F11" s="66">
        <f t="shared" si="0"/>
        <v>40679</v>
      </c>
    </row>
    <row r="12" spans="1:6" ht="13.5" thickBot="1">
      <c r="A12" s="56">
        <v>10</v>
      </c>
      <c r="B12" s="65">
        <v>1993</v>
      </c>
      <c r="C12" s="66">
        <v>46789</v>
      </c>
      <c r="D12" s="66">
        <v>3455</v>
      </c>
      <c r="E12" s="66">
        <v>5332</v>
      </c>
      <c r="F12" s="66">
        <f t="shared" si="0"/>
        <v>55576</v>
      </c>
    </row>
    <row r="13" spans="1:6" ht="13.5" thickBot="1">
      <c r="A13" s="56">
        <v>11</v>
      </c>
      <c r="B13" s="65">
        <v>1994</v>
      </c>
      <c r="C13" s="66">
        <v>15789</v>
      </c>
      <c r="D13" s="66">
        <v>6654</v>
      </c>
      <c r="E13" s="66">
        <v>3433</v>
      </c>
      <c r="F13" s="66">
        <f t="shared" si="0"/>
        <v>25876</v>
      </c>
    </row>
    <row r="14" spans="1:6" ht="13.5" thickBot="1">
      <c r="A14" s="56">
        <v>12</v>
      </c>
      <c r="B14" s="65">
        <v>1995</v>
      </c>
      <c r="C14" s="66">
        <v>24567</v>
      </c>
      <c r="D14" s="66">
        <v>4335</v>
      </c>
      <c r="E14" s="66">
        <v>6555</v>
      </c>
      <c r="F14" s="66">
        <f t="shared" si="0"/>
        <v>35457</v>
      </c>
    </row>
    <row r="15" spans="1:6" ht="13.5" thickBot="1">
      <c r="A15" s="56">
        <v>13</v>
      </c>
      <c r="B15" s="65">
        <v>1996</v>
      </c>
      <c r="C15" s="66">
        <v>21456</v>
      </c>
      <c r="D15" s="66">
        <v>5646</v>
      </c>
      <c r="E15" s="66">
        <v>6788</v>
      </c>
      <c r="F15" s="66">
        <f t="shared" si="0"/>
        <v>33890</v>
      </c>
    </row>
    <row r="16" spans="1:6" ht="13.5" thickBot="1">
      <c r="A16" s="56">
        <v>14</v>
      </c>
      <c r="B16" s="65">
        <v>1997</v>
      </c>
      <c r="C16" s="66">
        <v>22285</v>
      </c>
      <c r="D16" s="66">
        <v>4667</v>
      </c>
      <c r="E16" s="66">
        <v>6886</v>
      </c>
      <c r="F16" s="66">
        <f t="shared" si="0"/>
        <v>33838</v>
      </c>
    </row>
    <row r="17" spans="1:6" ht="13.5" thickBot="1">
      <c r="A17" s="56">
        <v>15</v>
      </c>
      <c r="B17" s="65">
        <v>1998</v>
      </c>
      <c r="C17" s="66">
        <v>34589</v>
      </c>
      <c r="D17" s="66">
        <v>5788</v>
      </c>
      <c r="E17" s="66">
        <v>8868</v>
      </c>
      <c r="F17" s="66">
        <f t="shared" si="0"/>
        <v>49245</v>
      </c>
    </row>
    <row r="18" spans="1:6" ht="13.5" thickBot="1">
      <c r="A18" s="56">
        <v>16</v>
      </c>
      <c r="B18" s="67"/>
      <c r="C18" s="67"/>
      <c r="D18" s="67"/>
      <c r="E18" s="67"/>
      <c r="F18" s="67"/>
    </row>
    <row r="19" spans="1:6" ht="14.25" thickBot="1" thickTop="1">
      <c r="A19" s="56">
        <v>17</v>
      </c>
      <c r="B19" s="68" t="s">
        <v>77</v>
      </c>
      <c r="C19" s="69">
        <f>SUM(C9:C18)</f>
        <v>211910</v>
      </c>
      <c r="D19" s="69">
        <f>SUM(D9:D18)</f>
        <v>43332</v>
      </c>
      <c r="E19" s="69">
        <f>SUM(E9:E18)</f>
        <v>49102</v>
      </c>
      <c r="F19" s="69">
        <f>SUM(F9:F18)</f>
        <v>304344</v>
      </c>
    </row>
    <row r="20" spans="1:6" ht="14.25" thickBot="1" thickTop="1">
      <c r="A20" s="56">
        <v>18</v>
      </c>
      <c r="B20" s="68" t="s">
        <v>78</v>
      </c>
      <c r="C20" s="69">
        <f>AVERAGE(C9:C17)</f>
        <v>23545.555555555555</v>
      </c>
      <c r="D20" s="69">
        <f>AVERAGE(D9:D17)</f>
        <v>4814.666666666667</v>
      </c>
      <c r="E20" s="69">
        <f>AVERAGE(E9:E17)</f>
        <v>5455.777777777777</v>
      </c>
      <c r="F20" s="69">
        <f>AVERAGE(F9:F17)</f>
        <v>33816</v>
      </c>
    </row>
    <row r="21" spans="1:6" ht="14.25" thickBot="1" thickTop="1">
      <c r="A21" s="56">
        <v>19</v>
      </c>
      <c r="B21" s="68" t="s">
        <v>79</v>
      </c>
      <c r="C21" s="69">
        <f>MAX(C9:C17)</f>
        <v>46789</v>
      </c>
      <c r="D21" s="69">
        <f>MAX(D9:D17)</f>
        <v>6654</v>
      </c>
      <c r="E21" s="69">
        <f>MAX(E9:E17)</f>
        <v>8868</v>
      </c>
      <c r="F21" s="69">
        <f>MAX(F9:F17)</f>
        <v>55576</v>
      </c>
    </row>
    <row r="22" spans="1:6" ht="14.25" thickBot="1" thickTop="1">
      <c r="A22" s="56">
        <v>20</v>
      </c>
      <c r="B22" s="68" t="s">
        <v>80</v>
      </c>
      <c r="C22" s="69">
        <f>MIN(C9:C17)</f>
        <v>1346</v>
      </c>
      <c r="D22" s="69">
        <f>MIN(D9:D17)</f>
        <v>3455</v>
      </c>
      <c r="E22" s="69">
        <f>MIN(E9:E17)</f>
        <v>1041</v>
      </c>
      <c r="F22" s="69">
        <f>MIN(F9:F17)</f>
        <v>11676</v>
      </c>
    </row>
    <row r="23" spans="1:6" ht="14.25" thickBot="1" thickTop="1">
      <c r="A23" s="56">
        <v>21</v>
      </c>
      <c r="B23" s="70" t="s">
        <v>81</v>
      </c>
      <c r="C23" s="70"/>
      <c r="D23" s="71"/>
      <c r="E23" s="71"/>
      <c r="F23" s="71"/>
    </row>
    <row r="24" spans="1:6" ht="14.25" thickBot="1" thickTop="1">
      <c r="A24" s="56">
        <v>22</v>
      </c>
      <c r="B24" s="68" t="s">
        <v>77</v>
      </c>
      <c r="C24" s="69">
        <f>SUM(F9:F17)</f>
        <v>304344</v>
      </c>
      <c r="D24" s="72"/>
      <c r="E24" s="73"/>
      <c r="F24" s="73"/>
    </row>
    <row r="25" spans="1:6" ht="14.25" thickBot="1" thickTop="1">
      <c r="A25" s="56">
        <v>23</v>
      </c>
      <c r="B25" s="68" t="s">
        <v>78</v>
      </c>
      <c r="C25" s="69">
        <f>AVERAGE(F9:F17)</f>
        <v>33816</v>
      </c>
      <c r="D25" s="72"/>
      <c r="E25" s="73"/>
      <c r="F25" s="73"/>
    </row>
    <row r="26" spans="1:6" ht="14.25" thickBot="1" thickTop="1">
      <c r="A26" s="56">
        <v>24</v>
      </c>
      <c r="B26" s="68" t="s">
        <v>79</v>
      </c>
      <c r="C26" s="69">
        <f>MAX(F9:F17)</f>
        <v>55576</v>
      </c>
      <c r="D26" s="72"/>
      <c r="E26" s="73"/>
      <c r="F26" s="73"/>
    </row>
    <row r="27" spans="1:6" ht="14.25" thickBot="1" thickTop="1">
      <c r="A27" s="74">
        <v>25</v>
      </c>
      <c r="B27" s="68" t="s">
        <v>80</v>
      </c>
      <c r="C27" s="69">
        <f>MIN(F9:F17)</f>
        <v>11676</v>
      </c>
      <c r="D27" s="72"/>
      <c r="E27" s="73"/>
      <c r="F27" s="73"/>
    </row>
    <row r="28" ht="13.5" thickTop="1"/>
    <row r="29" ht="12.75">
      <c r="B29" t="s">
        <v>13</v>
      </c>
    </row>
    <row r="30" ht="12.75">
      <c r="B30" s="17" t="s">
        <v>82</v>
      </c>
    </row>
    <row r="31" ht="12.75">
      <c r="B31" s="17" t="s">
        <v>83</v>
      </c>
    </row>
    <row r="32" ht="12.75">
      <c r="B32" s="17" t="s">
        <v>84</v>
      </c>
    </row>
    <row r="33" ht="12.75">
      <c r="B33" s="17" t="s">
        <v>85</v>
      </c>
    </row>
    <row r="34" ht="12.75">
      <c r="B34" s="17" t="s">
        <v>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H2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13.8515625" style="0" customWidth="1"/>
    <col min="4" max="4" width="8.57421875" style="0" customWidth="1"/>
    <col min="5" max="5" width="8.140625" style="0" customWidth="1"/>
    <col min="6" max="6" width="9.7109375" style="0" customWidth="1"/>
    <col min="7" max="8" width="7.28125" style="0" customWidth="1"/>
    <col min="9" max="9" width="14.00390625" style="0" customWidth="1"/>
    <col min="10" max="10" width="15.140625" style="0" customWidth="1"/>
  </cols>
  <sheetData>
    <row r="1" spans="1:4" ht="24.75">
      <c r="A1" s="75" t="s">
        <v>87</v>
      </c>
      <c r="B1" s="76"/>
      <c r="C1" s="76"/>
      <c r="D1" s="76"/>
    </row>
    <row r="2" spans="1:4" ht="22.5">
      <c r="A2" s="77" t="s">
        <v>88</v>
      </c>
      <c r="B2" s="76"/>
      <c r="C2" s="76"/>
      <c r="D2" s="76"/>
    </row>
    <row r="3" ht="13.5" thickBot="1"/>
    <row r="4" spans="1:10" ht="14.25" thickBot="1">
      <c r="A4" s="148" t="s">
        <v>89</v>
      </c>
      <c r="B4" s="148" t="s">
        <v>90</v>
      </c>
      <c r="C4" s="148" t="s">
        <v>0</v>
      </c>
      <c r="D4" s="148" t="s">
        <v>0</v>
      </c>
      <c r="E4" s="148" t="s">
        <v>91</v>
      </c>
      <c r="F4" s="148" t="s">
        <v>92</v>
      </c>
      <c r="G4" s="148" t="s">
        <v>93</v>
      </c>
      <c r="H4" s="148" t="s">
        <v>12</v>
      </c>
      <c r="I4" s="148" t="s">
        <v>94</v>
      </c>
      <c r="J4" s="148" t="s">
        <v>95</v>
      </c>
    </row>
    <row r="5" spans="1:10" ht="14.25" thickBot="1">
      <c r="A5" s="148" t="s">
        <v>96</v>
      </c>
      <c r="B5" s="148" t="s">
        <v>97</v>
      </c>
      <c r="C5" s="148" t="s">
        <v>97</v>
      </c>
      <c r="D5" s="148" t="s">
        <v>98</v>
      </c>
      <c r="E5" s="148"/>
      <c r="F5" s="148"/>
      <c r="G5" s="148"/>
      <c r="H5" s="148" t="s">
        <v>99</v>
      </c>
      <c r="I5" s="148" t="s">
        <v>100</v>
      </c>
      <c r="J5" s="148" t="s">
        <v>101</v>
      </c>
    </row>
    <row r="6" ht="13.5" thickBot="1">
      <c r="A6" s="67"/>
    </row>
    <row r="7" spans="1:10" ht="16.5" thickBot="1">
      <c r="A7" s="141">
        <v>1</v>
      </c>
      <c r="B7" s="142" t="s">
        <v>102</v>
      </c>
      <c r="C7" s="143" t="s">
        <v>103</v>
      </c>
      <c r="D7" s="143" t="str">
        <f>LEFT(C7,FIND(" ",C7,1))</f>
        <v>Abdul </v>
      </c>
      <c r="E7" s="144" t="str">
        <f>MID(B7,3,2)</f>
        <v>94</v>
      </c>
      <c r="F7" s="145" t="str">
        <f>VLOOKUP(LEFT(B7,2),$A$22:$B$26,2)</f>
        <v>HUKUM</v>
      </c>
      <c r="G7" s="146">
        <v>1.86</v>
      </c>
      <c r="H7" s="142">
        <f>IF(G7&lt;2,16,IF(OR(G7=2,G7&lt;=2.5),20,IF(OR(G7=2.6,G7&lt;=3),22,24)))</f>
        <v>16</v>
      </c>
      <c r="I7" s="147">
        <f>IF(E7="94",750000,IF(E7="95",850000,950000))</f>
        <v>750000</v>
      </c>
      <c r="J7" s="147">
        <f>VLOOKUP(F7,$A$22:$C$26,3)*H7+I7</f>
        <v>1070000</v>
      </c>
    </row>
    <row r="8" spans="1:10" ht="16.5" thickBot="1">
      <c r="A8" s="141">
        <v>2</v>
      </c>
      <c r="B8" s="142" t="s">
        <v>104</v>
      </c>
      <c r="C8" s="143" t="s">
        <v>105</v>
      </c>
      <c r="D8" s="143" t="str">
        <f aca="true" t="shared" si="0" ref="D8:D16">LEFT(C8,FIND(" ",C8,1))</f>
        <v>Jamal </v>
      </c>
      <c r="E8" s="144" t="str">
        <f aca="true" t="shared" si="1" ref="E8:E16">MID(B8,3,2)</f>
        <v>95</v>
      </c>
      <c r="F8" s="145"/>
      <c r="G8" s="146">
        <v>2.78</v>
      </c>
      <c r="H8" s="142"/>
      <c r="I8" s="147"/>
      <c r="J8" s="147"/>
    </row>
    <row r="9" spans="1:10" ht="16.5" thickBot="1">
      <c r="A9" s="141">
        <v>3</v>
      </c>
      <c r="B9" s="142" t="s">
        <v>106</v>
      </c>
      <c r="C9" s="143" t="s">
        <v>107</v>
      </c>
      <c r="D9" s="143" t="str">
        <f t="shared" si="0"/>
        <v>Deni </v>
      </c>
      <c r="E9" s="144" t="str">
        <f t="shared" si="1"/>
        <v>95</v>
      </c>
      <c r="F9" s="145"/>
      <c r="G9" s="146">
        <v>3.89</v>
      </c>
      <c r="H9" s="142"/>
      <c r="I9" s="147"/>
      <c r="J9" s="147"/>
    </row>
    <row r="10" spans="1:10" ht="16.5" thickBot="1">
      <c r="A10" s="141">
        <v>4</v>
      </c>
      <c r="B10" s="142" t="s">
        <v>108</v>
      </c>
      <c r="C10" s="143" t="s">
        <v>109</v>
      </c>
      <c r="D10" s="143" t="str">
        <f t="shared" si="0"/>
        <v>Taufik </v>
      </c>
      <c r="E10" s="144" t="str">
        <f t="shared" si="1"/>
        <v>96</v>
      </c>
      <c r="F10" s="145"/>
      <c r="G10" s="146">
        <v>2.34</v>
      </c>
      <c r="H10" s="142"/>
      <c r="I10" s="147"/>
      <c r="J10" s="147"/>
    </row>
    <row r="11" spans="1:10" ht="16.5" thickBot="1">
      <c r="A11" s="141">
        <v>5</v>
      </c>
      <c r="B11" s="142" t="s">
        <v>110</v>
      </c>
      <c r="C11" s="143" t="s">
        <v>111</v>
      </c>
      <c r="D11" s="143" t="str">
        <f t="shared" si="0"/>
        <v>Abdul </v>
      </c>
      <c r="E11" s="144" t="str">
        <f t="shared" si="1"/>
        <v>94</v>
      </c>
      <c r="F11" s="145"/>
      <c r="G11" s="146">
        <v>1.87</v>
      </c>
      <c r="H11" s="142"/>
      <c r="I11" s="147"/>
      <c r="J11" s="147"/>
    </row>
    <row r="12" spans="1:10" ht="16.5" thickBot="1">
      <c r="A12" s="141">
        <v>6</v>
      </c>
      <c r="B12" s="142" t="s">
        <v>112</v>
      </c>
      <c r="C12" s="143" t="s">
        <v>113</v>
      </c>
      <c r="D12" s="143" t="str">
        <f t="shared" si="0"/>
        <v>Sugandi </v>
      </c>
      <c r="E12" s="144" t="str">
        <f t="shared" si="1"/>
        <v>96</v>
      </c>
      <c r="F12" s="145"/>
      <c r="G12" s="146">
        <v>2.35</v>
      </c>
      <c r="H12" s="142"/>
      <c r="I12" s="147"/>
      <c r="J12" s="147"/>
    </row>
    <row r="13" spans="1:10" ht="16.5" thickBot="1">
      <c r="A13" s="141">
        <v>7</v>
      </c>
      <c r="B13" s="142" t="s">
        <v>114</v>
      </c>
      <c r="C13" s="143" t="s">
        <v>115</v>
      </c>
      <c r="D13" s="143" t="str">
        <f t="shared" si="0"/>
        <v>Abdul </v>
      </c>
      <c r="E13" s="144" t="str">
        <f t="shared" si="1"/>
        <v>94</v>
      </c>
      <c r="F13" s="145"/>
      <c r="G13" s="146">
        <v>1.97</v>
      </c>
      <c r="H13" s="142"/>
      <c r="I13" s="147"/>
      <c r="J13" s="147"/>
    </row>
    <row r="14" spans="1:10" ht="16.5" thickBot="1">
      <c r="A14" s="141">
        <v>8</v>
      </c>
      <c r="B14" s="142" t="s">
        <v>116</v>
      </c>
      <c r="C14" s="143" t="s">
        <v>117</v>
      </c>
      <c r="D14" s="143" t="str">
        <f t="shared" si="0"/>
        <v>Zein </v>
      </c>
      <c r="E14" s="144" t="str">
        <f t="shared" si="1"/>
        <v>96</v>
      </c>
      <c r="F14" s="145"/>
      <c r="G14" s="146">
        <v>3.16</v>
      </c>
      <c r="H14" s="142"/>
      <c r="I14" s="147"/>
      <c r="J14" s="147"/>
    </row>
    <row r="15" spans="1:10" ht="16.5" thickBot="1">
      <c r="A15" s="141">
        <v>9</v>
      </c>
      <c r="B15" s="142" t="s">
        <v>118</v>
      </c>
      <c r="C15" s="143" t="s">
        <v>119</v>
      </c>
      <c r="D15" s="143" t="str">
        <f t="shared" si="0"/>
        <v>Erwin </v>
      </c>
      <c r="E15" s="144" t="str">
        <f t="shared" si="1"/>
        <v>95</v>
      </c>
      <c r="F15" s="145"/>
      <c r="G15" s="146">
        <v>2.16</v>
      </c>
      <c r="H15" s="142"/>
      <c r="I15" s="147"/>
      <c r="J15" s="147"/>
    </row>
    <row r="16" spans="1:10" ht="16.5" thickBot="1">
      <c r="A16" s="141">
        <v>10</v>
      </c>
      <c r="B16" s="142" t="s">
        <v>120</v>
      </c>
      <c r="C16" s="143" t="s">
        <v>121</v>
      </c>
      <c r="D16" s="143" t="str">
        <f t="shared" si="0"/>
        <v>Agus </v>
      </c>
      <c r="E16" s="144" t="str">
        <f t="shared" si="1"/>
        <v>96</v>
      </c>
      <c r="F16" s="145"/>
      <c r="G16" s="146">
        <v>2.98</v>
      </c>
      <c r="H16" s="142"/>
      <c r="I16" s="147"/>
      <c r="J16" s="147"/>
    </row>
    <row r="19" ht="16.5" thickBot="1">
      <c r="A19" s="78" t="s">
        <v>122</v>
      </c>
    </row>
    <row r="20" spans="1:3" ht="13.5" thickTop="1">
      <c r="A20" s="79" t="s">
        <v>123</v>
      </c>
      <c r="B20" s="79" t="s">
        <v>124</v>
      </c>
      <c r="C20" s="79" t="s">
        <v>125</v>
      </c>
    </row>
    <row r="21" spans="1:3" ht="13.5" thickBot="1">
      <c r="A21" s="80" t="s">
        <v>124</v>
      </c>
      <c r="B21" s="80"/>
      <c r="C21" s="80" t="s">
        <v>126</v>
      </c>
    </row>
    <row r="22" spans="1:3" ht="14.25" thickBot="1" thickTop="1">
      <c r="A22" s="81" t="s">
        <v>127</v>
      </c>
      <c r="B22" s="82" t="s">
        <v>128</v>
      </c>
      <c r="C22" s="83">
        <v>15000</v>
      </c>
    </row>
    <row r="23" spans="1:3" ht="14.25" thickBot="1" thickTop="1">
      <c r="A23" s="81" t="s">
        <v>129</v>
      </c>
      <c r="B23" s="82" t="s">
        <v>130</v>
      </c>
      <c r="C23" s="83">
        <v>20000</v>
      </c>
    </row>
    <row r="24" spans="1:3" ht="14.25" thickBot="1" thickTop="1">
      <c r="A24" s="81" t="s">
        <v>131</v>
      </c>
      <c r="B24" s="82" t="s">
        <v>132</v>
      </c>
      <c r="C24" s="83">
        <v>25000</v>
      </c>
    </row>
    <row r="25" spans="1:3" ht="14.25" thickBot="1" thickTop="1">
      <c r="A25" s="81" t="s">
        <v>133</v>
      </c>
      <c r="B25" s="82" t="s">
        <v>134</v>
      </c>
      <c r="C25" s="83">
        <v>35000</v>
      </c>
    </row>
    <row r="26" spans="1:3" ht="14.25" thickBot="1" thickTop="1">
      <c r="A26" s="81" t="s">
        <v>135</v>
      </c>
      <c r="B26" s="82" t="s">
        <v>136</v>
      </c>
      <c r="C26" s="83">
        <v>40000</v>
      </c>
    </row>
    <row r="27" ht="13.5" thickTop="1"/>
    <row r="29" ht="12.75">
      <c r="A29" s="84" t="s">
        <v>137</v>
      </c>
    </row>
    <row r="31" ht="12.75">
      <c r="A31" s="17" t="s">
        <v>138</v>
      </c>
    </row>
    <row r="32" ht="12.75">
      <c r="A32" s="17" t="s">
        <v>139</v>
      </c>
    </row>
    <row r="33" ht="12.75">
      <c r="A33" s="17" t="s">
        <v>140</v>
      </c>
    </row>
    <row r="35" ht="12.75">
      <c r="A35" s="16" t="s">
        <v>141</v>
      </c>
    </row>
    <row r="36" ht="12.75">
      <c r="A36" s="17" t="s">
        <v>142</v>
      </c>
    </row>
    <row r="37" ht="12.75">
      <c r="A37" s="17" t="s">
        <v>143</v>
      </c>
    </row>
    <row r="38" ht="12.75">
      <c r="A38" s="17" t="s">
        <v>144</v>
      </c>
    </row>
    <row r="39" ht="12.75">
      <c r="A39" s="17" t="s">
        <v>145</v>
      </c>
    </row>
    <row r="40" ht="12.75">
      <c r="A40" s="17" t="s">
        <v>146</v>
      </c>
    </row>
    <row r="41" ht="12.75">
      <c r="A41" t="s">
        <v>147</v>
      </c>
    </row>
    <row r="42" ht="12.75">
      <c r="A42" t="s">
        <v>148</v>
      </c>
    </row>
    <row r="43" ht="12.75">
      <c r="A43" t="s">
        <v>149</v>
      </c>
    </row>
    <row r="44" ht="12.75">
      <c r="A44" t="s">
        <v>150</v>
      </c>
    </row>
    <row r="45" ht="12.75">
      <c r="A45" s="17" t="s">
        <v>151</v>
      </c>
    </row>
    <row r="46" ht="12.75">
      <c r="A46" t="s">
        <v>152</v>
      </c>
    </row>
    <row r="47" ht="12.75">
      <c r="A47" t="s">
        <v>153</v>
      </c>
    </row>
    <row r="48" ht="12.75">
      <c r="A48" t="s">
        <v>154</v>
      </c>
    </row>
    <row r="49" ht="12.75">
      <c r="A49" s="17" t="s">
        <v>155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D40" sqref="D40"/>
    </sheetView>
  </sheetViews>
  <sheetFormatPr defaultColWidth="9.140625" defaultRowHeight="12.75"/>
  <cols>
    <col min="1" max="1" width="17.57421875" style="0" customWidth="1"/>
    <col min="3" max="3" width="15.57421875" style="0" customWidth="1"/>
    <col min="4" max="4" width="23.140625" style="0" customWidth="1"/>
    <col min="5" max="5" width="18.7109375" style="0" customWidth="1"/>
    <col min="6" max="6" width="15.57421875" style="0" customWidth="1"/>
    <col min="7" max="7" width="14.7109375" style="0" customWidth="1"/>
    <col min="8" max="8" width="16.00390625" style="0" customWidth="1"/>
    <col min="9" max="9" width="14.7109375" style="0" customWidth="1"/>
  </cols>
  <sheetData>
    <row r="1" spans="1:9" ht="24.75">
      <c r="A1" s="85" t="s">
        <v>156</v>
      </c>
      <c r="B1" s="86"/>
      <c r="C1" s="86"/>
      <c r="D1" s="86"/>
      <c r="E1" s="86"/>
      <c r="F1" s="86"/>
      <c r="G1" s="87"/>
      <c r="H1" s="87"/>
      <c r="I1" s="87"/>
    </row>
    <row r="2" spans="1:9" ht="24.75">
      <c r="A2" s="85" t="s">
        <v>157</v>
      </c>
      <c r="B2" s="88"/>
      <c r="C2" s="88"/>
      <c r="D2" s="86"/>
      <c r="E2" s="88"/>
      <c r="F2" s="89"/>
      <c r="G2" s="90"/>
      <c r="H2" s="90"/>
      <c r="I2" s="90"/>
    </row>
    <row r="3" spans="1:9" ht="24.75">
      <c r="A3" s="85" t="s">
        <v>158</v>
      </c>
      <c r="B3" s="88"/>
      <c r="C3" s="88"/>
      <c r="D3" s="88"/>
      <c r="E3" s="88"/>
      <c r="F3" s="89"/>
      <c r="G3" s="90"/>
      <c r="H3" s="90"/>
      <c r="I3" s="90"/>
    </row>
    <row r="4" spans="1:3" ht="12.75">
      <c r="A4" s="16" t="s">
        <v>159</v>
      </c>
      <c r="C4" s="91">
        <v>12</v>
      </c>
    </row>
    <row r="5" ht="13.5" thickBot="1"/>
    <row r="6" spans="1:9" ht="14.25" thickBot="1" thickTop="1">
      <c r="A6" s="92" t="s">
        <v>160</v>
      </c>
      <c r="B6" s="92" t="s">
        <v>161</v>
      </c>
      <c r="C6" s="92" t="s">
        <v>162</v>
      </c>
      <c r="D6" s="92" t="s">
        <v>163</v>
      </c>
      <c r="E6" s="92" t="s">
        <v>164</v>
      </c>
      <c r="F6" s="92" t="s">
        <v>165</v>
      </c>
      <c r="G6" s="92" t="s">
        <v>166</v>
      </c>
      <c r="H6" s="92" t="s">
        <v>167</v>
      </c>
      <c r="I6" s="92" t="s">
        <v>168</v>
      </c>
    </row>
    <row r="7" ht="14.25" thickBot="1" thickTop="1">
      <c r="A7" s="93"/>
    </row>
    <row r="8" spans="1:9" ht="14.25" thickBot="1" thickTop="1">
      <c r="A8" s="94" t="s">
        <v>169</v>
      </c>
      <c r="B8" s="95">
        <v>0.28125</v>
      </c>
      <c r="C8" s="95">
        <v>0.8159722222222222</v>
      </c>
      <c r="D8" s="96">
        <f>C8-B8</f>
        <v>0.5347222222222222</v>
      </c>
      <c r="E8" s="96">
        <f>D8-$C$4/24</f>
        <v>0.03472222222222221</v>
      </c>
      <c r="F8" s="97">
        <v>3500</v>
      </c>
      <c r="G8" s="97">
        <f>F8*$C$4</f>
        <v>42000</v>
      </c>
      <c r="H8" s="97">
        <f>E8*(1.5*F8)*24</f>
        <v>4374.999999999998</v>
      </c>
      <c r="I8" s="97">
        <f>G8+H8</f>
        <v>46375</v>
      </c>
    </row>
    <row r="9" spans="1:9" ht="14.25" thickBot="1" thickTop="1">
      <c r="A9" s="94" t="s">
        <v>170</v>
      </c>
      <c r="B9" s="95">
        <v>0.3229166666666667</v>
      </c>
      <c r="C9" s="95">
        <v>0.8229166666666666</v>
      </c>
      <c r="D9" s="96">
        <f aca="true" t="shared" si="0" ref="D9:D16">C9-B9</f>
        <v>0.49999999999999994</v>
      </c>
      <c r="E9" s="96">
        <f aca="true" t="shared" si="1" ref="E9:E16">D9-$C$4/24</f>
        <v>0</v>
      </c>
      <c r="F9" s="97">
        <v>2500</v>
      </c>
      <c r="G9" s="97">
        <f aca="true" t="shared" si="2" ref="G9:G16">F9*$C$4</f>
        <v>30000</v>
      </c>
      <c r="H9" s="97">
        <f aca="true" t="shared" si="3" ref="H9:H16">E9*(1.5*F9)*24</f>
        <v>0</v>
      </c>
      <c r="I9" s="97">
        <f aca="true" t="shared" si="4" ref="I9:I16">G9+H9</f>
        <v>30000</v>
      </c>
    </row>
    <row r="10" spans="1:9" ht="14.25" thickBot="1" thickTop="1">
      <c r="A10" s="94" t="s">
        <v>171</v>
      </c>
      <c r="B10" s="95">
        <v>0.3090277777777778</v>
      </c>
      <c r="C10" s="95">
        <v>0.8159722222222222</v>
      </c>
      <c r="D10" s="96">
        <f t="shared" si="0"/>
        <v>0.5069444444444444</v>
      </c>
      <c r="E10" s="96">
        <f t="shared" si="1"/>
        <v>0.00694444444444442</v>
      </c>
      <c r="F10" s="97">
        <v>2000</v>
      </c>
      <c r="G10" s="97">
        <f t="shared" si="2"/>
        <v>24000</v>
      </c>
      <c r="H10" s="97">
        <f t="shared" si="3"/>
        <v>499.9999999999982</v>
      </c>
      <c r="I10" s="97">
        <f t="shared" si="4"/>
        <v>24500</v>
      </c>
    </row>
    <row r="11" spans="1:9" ht="14.25" thickBot="1" thickTop="1">
      <c r="A11" s="94" t="s">
        <v>172</v>
      </c>
      <c r="B11" s="95">
        <v>0.3576388888888889</v>
      </c>
      <c r="C11" s="95">
        <v>0.9083333333333333</v>
      </c>
      <c r="D11" s="96">
        <f t="shared" si="0"/>
        <v>0.5506944444444444</v>
      </c>
      <c r="E11" s="96">
        <f t="shared" si="1"/>
        <v>0.050694444444444375</v>
      </c>
      <c r="F11" s="97">
        <v>3500</v>
      </c>
      <c r="G11" s="97">
        <f t="shared" si="2"/>
        <v>42000</v>
      </c>
      <c r="H11" s="97">
        <f t="shared" si="3"/>
        <v>6387.499999999991</v>
      </c>
      <c r="I11" s="97">
        <f t="shared" si="4"/>
        <v>48387.49999999999</v>
      </c>
    </row>
    <row r="12" spans="1:9" ht="14.25" thickBot="1" thickTop="1">
      <c r="A12" s="94" t="s">
        <v>173</v>
      </c>
      <c r="B12" s="95">
        <v>0.33055555555555555</v>
      </c>
      <c r="C12" s="95">
        <v>0.9013888888888889</v>
      </c>
      <c r="D12" s="96">
        <f t="shared" si="0"/>
        <v>0.5708333333333333</v>
      </c>
      <c r="E12" s="96">
        <f t="shared" si="1"/>
        <v>0.0708333333333333</v>
      </c>
      <c r="F12" s="97">
        <v>2000</v>
      </c>
      <c r="G12" s="97">
        <f t="shared" si="2"/>
        <v>24000</v>
      </c>
      <c r="H12" s="97">
        <f t="shared" si="3"/>
        <v>5099.999999999998</v>
      </c>
      <c r="I12" s="97">
        <f t="shared" si="4"/>
        <v>29100</v>
      </c>
    </row>
    <row r="13" spans="1:9" ht="14.25" thickBot="1" thickTop="1">
      <c r="A13" s="94" t="s">
        <v>174</v>
      </c>
      <c r="B13" s="95">
        <v>0.32430555555555557</v>
      </c>
      <c r="C13" s="95">
        <v>0.8590277777777778</v>
      </c>
      <c r="D13" s="96">
        <f t="shared" si="0"/>
        <v>0.5347222222222223</v>
      </c>
      <c r="E13" s="96">
        <f t="shared" si="1"/>
        <v>0.03472222222222232</v>
      </c>
      <c r="F13" s="97">
        <v>2500</v>
      </c>
      <c r="G13" s="97">
        <f t="shared" si="2"/>
        <v>30000</v>
      </c>
      <c r="H13" s="97">
        <f t="shared" si="3"/>
        <v>3125.000000000009</v>
      </c>
      <c r="I13" s="97">
        <f t="shared" si="4"/>
        <v>33125.00000000001</v>
      </c>
    </row>
    <row r="14" spans="1:9" ht="14.25" thickBot="1" thickTop="1">
      <c r="A14" s="94" t="s">
        <v>175</v>
      </c>
      <c r="B14" s="95">
        <v>0.3854166666666667</v>
      </c>
      <c r="C14" s="95">
        <v>0.9111111111111111</v>
      </c>
      <c r="D14" s="96">
        <f t="shared" si="0"/>
        <v>0.5256944444444445</v>
      </c>
      <c r="E14" s="96">
        <f t="shared" si="1"/>
        <v>0.025694444444444464</v>
      </c>
      <c r="F14" s="97">
        <v>3500</v>
      </c>
      <c r="G14" s="97">
        <f t="shared" si="2"/>
        <v>42000</v>
      </c>
      <c r="H14" s="97">
        <f t="shared" si="3"/>
        <v>3237.5000000000023</v>
      </c>
      <c r="I14" s="97">
        <f t="shared" si="4"/>
        <v>45237.5</v>
      </c>
    </row>
    <row r="15" spans="1:9" ht="14.25" thickBot="1" thickTop="1">
      <c r="A15" s="94" t="s">
        <v>176</v>
      </c>
      <c r="B15" s="95">
        <v>0.3111111111111111</v>
      </c>
      <c r="C15" s="95">
        <v>0.85625</v>
      </c>
      <c r="D15" s="96">
        <f t="shared" si="0"/>
        <v>0.5451388888888888</v>
      </c>
      <c r="E15" s="96">
        <f t="shared" si="1"/>
        <v>0.04513888888888884</v>
      </c>
      <c r="F15" s="97">
        <v>2000</v>
      </c>
      <c r="G15" s="97">
        <f t="shared" si="2"/>
        <v>24000</v>
      </c>
      <c r="H15" s="97">
        <f t="shared" si="3"/>
        <v>3249.9999999999964</v>
      </c>
      <c r="I15" s="97">
        <f t="shared" si="4"/>
        <v>27249.999999999996</v>
      </c>
    </row>
    <row r="16" spans="1:9" ht="14.25" thickBot="1" thickTop="1">
      <c r="A16" s="94" t="s">
        <v>177</v>
      </c>
      <c r="B16" s="95">
        <v>0.2902777777777778</v>
      </c>
      <c r="C16" s="95">
        <v>0.8458333333333333</v>
      </c>
      <c r="D16" s="96">
        <f t="shared" si="0"/>
        <v>0.5555555555555556</v>
      </c>
      <c r="E16" s="96">
        <f t="shared" si="1"/>
        <v>0.05555555555555558</v>
      </c>
      <c r="F16" s="97">
        <v>2500</v>
      </c>
      <c r="G16" s="97">
        <f t="shared" si="2"/>
        <v>30000</v>
      </c>
      <c r="H16" s="97">
        <f t="shared" si="3"/>
        <v>5000.000000000002</v>
      </c>
      <c r="I16" s="97">
        <f t="shared" si="4"/>
        <v>35000</v>
      </c>
    </row>
    <row r="17" spans="1:9" ht="14.25" thickBot="1" thickTop="1">
      <c r="A17" s="93"/>
      <c r="B17" s="23"/>
      <c r="C17" s="23"/>
      <c r="D17" s="23"/>
      <c r="E17" s="23"/>
      <c r="F17" s="23"/>
      <c r="G17" s="23"/>
      <c r="H17" s="23"/>
      <c r="I17" s="23"/>
    </row>
    <row r="18" spans="1:9" ht="14.25" thickBot="1" thickTop="1">
      <c r="A18" s="98" t="s">
        <v>178</v>
      </c>
      <c r="B18" s="99"/>
      <c r="C18" s="99"/>
      <c r="D18" s="99"/>
      <c r="E18" s="99"/>
      <c r="F18" s="99"/>
      <c r="G18" s="99"/>
      <c r="H18" s="99"/>
      <c r="I18" s="100">
        <f>SUM(I8:I16)</f>
        <v>318975</v>
      </c>
    </row>
    <row r="19" spans="1:9" ht="13.5" thickTop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12.75">
      <c r="A20" s="16" t="s">
        <v>13</v>
      </c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17" t="s">
        <v>179</v>
      </c>
      <c r="B21" s="23"/>
      <c r="C21" s="23"/>
      <c r="D21" s="23"/>
      <c r="E21" s="23"/>
      <c r="F21" s="23"/>
      <c r="G21" s="23"/>
      <c r="H21" s="23"/>
      <c r="I21" s="23"/>
    </row>
    <row r="22" ht="12.75">
      <c r="A22" s="17" t="s">
        <v>180</v>
      </c>
    </row>
    <row r="23" ht="12.75">
      <c r="A23" s="17" t="s">
        <v>181</v>
      </c>
    </row>
    <row r="24" ht="12.75">
      <c r="A24" s="17" t="s">
        <v>182</v>
      </c>
    </row>
    <row r="25" ht="12.75">
      <c r="A25" t="s">
        <v>183</v>
      </c>
    </row>
    <row r="26" ht="12.75">
      <c r="A26" s="17" t="s">
        <v>184</v>
      </c>
    </row>
    <row r="27" ht="12.75">
      <c r="A27" s="17" t="s">
        <v>185</v>
      </c>
    </row>
    <row r="28" ht="12.75">
      <c r="A28" s="17" t="s">
        <v>186</v>
      </c>
    </row>
    <row r="29" ht="12.75">
      <c r="A29" s="17" t="s">
        <v>187</v>
      </c>
    </row>
    <row r="35" spans="1:9" ht="24.75">
      <c r="A35" s="85" t="s">
        <v>158</v>
      </c>
      <c r="B35" s="88"/>
      <c r="C35" s="88"/>
      <c r="D35" s="88"/>
      <c r="E35" s="88"/>
      <c r="F35" s="89"/>
      <c r="G35" s="90"/>
      <c r="H35" s="90"/>
      <c r="I35" s="90"/>
    </row>
    <row r="36" spans="1:3" ht="12.75">
      <c r="A36" s="16" t="s">
        <v>159</v>
      </c>
      <c r="C36" s="91">
        <v>12</v>
      </c>
    </row>
    <row r="37" ht="13.5" thickBot="1"/>
    <row r="38" spans="1:9" ht="14.25" thickBot="1" thickTop="1">
      <c r="A38" s="92" t="s">
        <v>160</v>
      </c>
      <c r="B38" s="92" t="s">
        <v>161</v>
      </c>
      <c r="C38" s="92" t="s">
        <v>162</v>
      </c>
      <c r="D38" s="92" t="s">
        <v>163</v>
      </c>
      <c r="E38" s="92" t="s">
        <v>164</v>
      </c>
      <c r="F38" s="92" t="s">
        <v>165</v>
      </c>
      <c r="G38" s="92" t="s">
        <v>166</v>
      </c>
      <c r="H38" s="92" t="s">
        <v>167</v>
      </c>
      <c r="I38" s="92" t="s">
        <v>168</v>
      </c>
    </row>
    <row r="39" ht="14.25" thickBot="1" thickTop="1">
      <c r="A39" s="93"/>
    </row>
    <row r="40" spans="1:9" ht="14.25" thickBot="1" thickTop="1">
      <c r="A40" s="94" t="s">
        <v>169</v>
      </c>
      <c r="B40" s="95">
        <v>0.28125</v>
      </c>
      <c r="C40" s="95">
        <v>0.8159722222222222</v>
      </c>
      <c r="D40" s="96">
        <f>C40-B40</f>
        <v>0.5347222222222222</v>
      </c>
      <c r="E40" s="96">
        <f>D40-$C$4/24</f>
        <v>0.03472222222222221</v>
      </c>
      <c r="F40" s="97">
        <v>3500</v>
      </c>
      <c r="G40" s="97">
        <f>F40*$C$4</f>
        <v>42000</v>
      </c>
      <c r="H40" s="97">
        <f>E40*(1.5*F40)*24</f>
        <v>4374.999999999998</v>
      </c>
      <c r="I40" s="97">
        <f>G40+H40</f>
        <v>46375</v>
      </c>
    </row>
    <row r="41" spans="1:9" ht="14.25" thickBot="1" thickTop="1">
      <c r="A41" s="94" t="s">
        <v>170</v>
      </c>
      <c r="B41" s="95">
        <v>0.3229166666666667</v>
      </c>
      <c r="C41" s="95">
        <v>0.8229166666666666</v>
      </c>
      <c r="D41" s="96">
        <f aca="true" t="shared" si="5" ref="D41:D48">C41-B41</f>
        <v>0.49999999999999994</v>
      </c>
      <c r="E41" s="96">
        <f aca="true" t="shared" si="6" ref="E41:E48">D41-$C$4/24</f>
        <v>0</v>
      </c>
      <c r="F41" s="97">
        <v>2500</v>
      </c>
      <c r="G41" s="97">
        <f aca="true" t="shared" si="7" ref="G41:G48">F41*$C$4</f>
        <v>30000</v>
      </c>
      <c r="H41" s="97">
        <f aca="true" t="shared" si="8" ref="H41:H48">E41*(1.5*F41)*24</f>
        <v>0</v>
      </c>
      <c r="I41" s="97">
        <f aca="true" t="shared" si="9" ref="I41:I48">G41+H41</f>
        <v>30000</v>
      </c>
    </row>
    <row r="42" spans="1:9" ht="14.25" thickBot="1" thickTop="1">
      <c r="A42" s="94" t="s">
        <v>171</v>
      </c>
      <c r="B42" s="95">
        <v>0.3090277777777778</v>
      </c>
      <c r="C42" s="95">
        <v>0.8159722222222222</v>
      </c>
      <c r="D42" s="96">
        <f t="shared" si="5"/>
        <v>0.5069444444444444</v>
      </c>
      <c r="E42" s="96">
        <f t="shared" si="6"/>
        <v>0.00694444444444442</v>
      </c>
      <c r="F42" s="97">
        <v>2000</v>
      </c>
      <c r="G42" s="97">
        <f t="shared" si="7"/>
        <v>24000</v>
      </c>
      <c r="H42" s="97">
        <f t="shared" si="8"/>
        <v>499.9999999999982</v>
      </c>
      <c r="I42" s="97">
        <f t="shared" si="9"/>
        <v>24500</v>
      </c>
    </row>
    <row r="43" spans="1:9" ht="14.25" thickBot="1" thickTop="1">
      <c r="A43" s="94" t="s">
        <v>172</v>
      </c>
      <c r="B43" s="95">
        <v>0.3576388888888889</v>
      </c>
      <c r="C43" s="95">
        <v>0.9083333333333333</v>
      </c>
      <c r="D43" s="96">
        <f t="shared" si="5"/>
        <v>0.5506944444444444</v>
      </c>
      <c r="E43" s="96">
        <f t="shared" si="6"/>
        <v>0.050694444444444375</v>
      </c>
      <c r="F43" s="97">
        <v>3500</v>
      </c>
      <c r="G43" s="97">
        <f t="shared" si="7"/>
        <v>42000</v>
      </c>
      <c r="H43" s="97">
        <f t="shared" si="8"/>
        <v>6387.499999999991</v>
      </c>
      <c r="I43" s="97">
        <f t="shared" si="9"/>
        <v>48387.49999999999</v>
      </c>
    </row>
    <row r="44" spans="1:9" ht="14.25" thickBot="1" thickTop="1">
      <c r="A44" s="94" t="s">
        <v>173</v>
      </c>
      <c r="B44" s="95">
        <v>0.33055555555555555</v>
      </c>
      <c r="C44" s="95">
        <v>0.9013888888888889</v>
      </c>
      <c r="D44" s="96">
        <f t="shared" si="5"/>
        <v>0.5708333333333333</v>
      </c>
      <c r="E44" s="96">
        <f t="shared" si="6"/>
        <v>0.0708333333333333</v>
      </c>
      <c r="F44" s="97">
        <v>2000</v>
      </c>
      <c r="G44" s="97">
        <f t="shared" si="7"/>
        <v>24000</v>
      </c>
      <c r="H44" s="97">
        <f t="shared" si="8"/>
        <v>5099.999999999998</v>
      </c>
      <c r="I44" s="97">
        <f t="shared" si="9"/>
        <v>29100</v>
      </c>
    </row>
    <row r="45" spans="1:9" ht="14.25" thickBot="1" thickTop="1">
      <c r="A45" s="94" t="s">
        <v>174</v>
      </c>
      <c r="B45" s="95">
        <v>0.32430555555555557</v>
      </c>
      <c r="C45" s="95">
        <v>0.8590277777777778</v>
      </c>
      <c r="D45" s="96">
        <f t="shared" si="5"/>
        <v>0.5347222222222223</v>
      </c>
      <c r="E45" s="96">
        <f t="shared" si="6"/>
        <v>0.03472222222222232</v>
      </c>
      <c r="F45" s="97">
        <v>2500</v>
      </c>
      <c r="G45" s="97">
        <f t="shared" si="7"/>
        <v>30000</v>
      </c>
      <c r="H45" s="97">
        <f t="shared" si="8"/>
        <v>3125.000000000009</v>
      </c>
      <c r="I45" s="97">
        <f t="shared" si="9"/>
        <v>33125.00000000001</v>
      </c>
    </row>
    <row r="46" spans="1:9" ht="14.25" thickBot="1" thickTop="1">
      <c r="A46" s="94" t="s">
        <v>175</v>
      </c>
      <c r="B46" s="95">
        <v>0.3854166666666667</v>
      </c>
      <c r="C46" s="95">
        <v>0.9111111111111111</v>
      </c>
      <c r="D46" s="96">
        <f t="shared" si="5"/>
        <v>0.5256944444444445</v>
      </c>
      <c r="E46" s="96">
        <f t="shared" si="6"/>
        <v>0.025694444444444464</v>
      </c>
      <c r="F46" s="97">
        <v>3500</v>
      </c>
      <c r="G46" s="97">
        <f t="shared" si="7"/>
        <v>42000</v>
      </c>
      <c r="H46" s="97">
        <f t="shared" si="8"/>
        <v>3237.5000000000023</v>
      </c>
      <c r="I46" s="97">
        <f t="shared" si="9"/>
        <v>45237.5</v>
      </c>
    </row>
    <row r="47" spans="1:9" ht="14.25" thickBot="1" thickTop="1">
      <c r="A47" s="94" t="s">
        <v>176</v>
      </c>
      <c r="B47" s="95">
        <v>0.3111111111111111</v>
      </c>
      <c r="C47" s="95">
        <v>0.85625</v>
      </c>
      <c r="D47" s="96">
        <f t="shared" si="5"/>
        <v>0.5451388888888888</v>
      </c>
      <c r="E47" s="96">
        <f t="shared" si="6"/>
        <v>0.04513888888888884</v>
      </c>
      <c r="F47" s="97">
        <v>2000</v>
      </c>
      <c r="G47" s="97">
        <f t="shared" si="7"/>
        <v>24000</v>
      </c>
      <c r="H47" s="97">
        <f t="shared" si="8"/>
        <v>3249.9999999999964</v>
      </c>
      <c r="I47" s="97">
        <f t="shared" si="9"/>
        <v>27249.999999999996</v>
      </c>
    </row>
    <row r="48" spans="1:9" ht="14.25" thickBot="1" thickTop="1">
      <c r="A48" s="94" t="s">
        <v>177</v>
      </c>
      <c r="B48" s="95">
        <v>0.2902777777777778</v>
      </c>
      <c r="C48" s="95">
        <v>0.8458333333333333</v>
      </c>
      <c r="D48" s="96">
        <f t="shared" si="5"/>
        <v>0.5555555555555556</v>
      </c>
      <c r="E48" s="96">
        <f t="shared" si="6"/>
        <v>0.05555555555555558</v>
      </c>
      <c r="F48" s="97">
        <v>2500</v>
      </c>
      <c r="G48" s="97">
        <f t="shared" si="7"/>
        <v>30000</v>
      </c>
      <c r="H48" s="97">
        <f t="shared" si="8"/>
        <v>5000.000000000002</v>
      </c>
      <c r="I48" s="97">
        <f t="shared" si="9"/>
        <v>35000</v>
      </c>
    </row>
    <row r="49" spans="1:9" ht="14.25" thickBot="1" thickTop="1">
      <c r="A49" s="93"/>
      <c r="B49" s="23"/>
      <c r="C49" s="23"/>
      <c r="D49" s="23"/>
      <c r="E49" s="23"/>
      <c r="F49" s="23"/>
      <c r="G49" s="23"/>
      <c r="H49" s="23"/>
      <c r="I49" s="23"/>
    </row>
    <row r="50" spans="1:9" ht="14.25" thickBot="1" thickTop="1">
      <c r="A50" s="98" t="s">
        <v>178</v>
      </c>
      <c r="B50" s="99"/>
      <c r="C50" s="99"/>
      <c r="D50" s="99"/>
      <c r="E50" s="99"/>
      <c r="F50" s="99"/>
      <c r="G50" s="99"/>
      <c r="H50" s="99"/>
      <c r="I50" s="100">
        <f>SUM(I40:I48)</f>
        <v>318975</v>
      </c>
    </row>
    <row r="51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C1">
      <selection activeCell="E21" sqref="E21"/>
    </sheetView>
  </sheetViews>
  <sheetFormatPr defaultColWidth="9.140625" defaultRowHeight="12.75"/>
  <cols>
    <col min="1" max="1" width="4.57421875" style="0" customWidth="1"/>
    <col min="2" max="2" width="18.00390625" style="0" customWidth="1"/>
    <col min="3" max="3" width="20.7109375" style="0" customWidth="1"/>
    <col min="4" max="4" width="14.57421875" style="0" customWidth="1"/>
    <col min="5" max="5" width="17.7109375" style="0" customWidth="1"/>
    <col min="6" max="6" width="15.57421875" style="0" customWidth="1"/>
    <col min="7" max="7" width="13.140625" style="0" customWidth="1"/>
    <col min="8" max="8" width="21.8515625" style="0" customWidth="1"/>
    <col min="9" max="9" width="16.57421875" style="0" customWidth="1"/>
  </cols>
  <sheetData>
    <row r="1" spans="1:9" ht="12.75">
      <c r="A1" s="157" t="s">
        <v>188</v>
      </c>
      <c r="B1" s="157"/>
      <c r="C1" s="157"/>
      <c r="D1" s="157"/>
      <c r="E1" s="157"/>
      <c r="F1" s="157"/>
      <c r="G1" s="157"/>
      <c r="H1" s="157"/>
      <c r="I1" s="157"/>
    </row>
    <row r="2" spans="1:9" ht="12.75">
      <c r="A2" s="157" t="s">
        <v>189</v>
      </c>
      <c r="B2" s="157"/>
      <c r="C2" s="157"/>
      <c r="D2" s="157"/>
      <c r="E2" s="157"/>
      <c r="F2" s="157"/>
      <c r="G2" s="157"/>
      <c r="H2" s="157"/>
      <c r="I2" s="157"/>
    </row>
    <row r="3" spans="1:9" ht="12.75">
      <c r="A3" s="157" t="s">
        <v>190</v>
      </c>
      <c r="B3" s="157"/>
      <c r="C3" s="157"/>
      <c r="D3" s="157"/>
      <c r="E3" s="157"/>
      <c r="F3" s="157"/>
      <c r="G3" s="157"/>
      <c r="H3" s="157"/>
      <c r="I3" s="157"/>
    </row>
    <row r="5" spans="1:9" ht="12.75">
      <c r="A5" s="158" t="s">
        <v>191</v>
      </c>
      <c r="B5" s="139" t="s">
        <v>192</v>
      </c>
      <c r="C5" s="140" t="s">
        <v>193</v>
      </c>
      <c r="D5" s="140" t="s">
        <v>194</v>
      </c>
      <c r="E5" s="140" t="s">
        <v>195</v>
      </c>
      <c r="F5" s="140" t="s">
        <v>196</v>
      </c>
      <c r="G5" s="158" t="s">
        <v>197</v>
      </c>
      <c r="H5" s="140" t="s">
        <v>198</v>
      </c>
      <c r="I5" s="140" t="s">
        <v>199</v>
      </c>
    </row>
    <row r="6" spans="1:9" ht="12.75">
      <c r="A6" s="158"/>
      <c r="B6" s="139" t="s">
        <v>28</v>
      </c>
      <c r="C6" s="140" t="s">
        <v>200</v>
      </c>
      <c r="D6" s="140" t="s">
        <v>28</v>
      </c>
      <c r="E6" s="140" t="s">
        <v>201</v>
      </c>
      <c r="F6" s="140" t="s">
        <v>201</v>
      </c>
      <c r="G6" s="158"/>
      <c r="H6" s="140" t="s">
        <v>202</v>
      </c>
      <c r="I6" s="140" t="s">
        <v>203</v>
      </c>
    </row>
    <row r="7" spans="1:9" ht="12.75">
      <c r="A7" s="137">
        <v>1</v>
      </c>
      <c r="B7" s="137">
        <v>10</v>
      </c>
      <c r="C7" s="137">
        <v>4</v>
      </c>
      <c r="D7" s="137"/>
      <c r="E7" s="138">
        <v>2500</v>
      </c>
      <c r="F7" s="138">
        <v>3000</v>
      </c>
      <c r="G7" s="138"/>
      <c r="H7" s="137"/>
      <c r="I7" s="138"/>
    </row>
    <row r="8" spans="1:9" ht="12.75">
      <c r="A8" s="137">
        <v>2</v>
      </c>
      <c r="B8" s="137">
        <v>22</v>
      </c>
      <c r="C8" s="137">
        <v>3</v>
      </c>
      <c r="D8" s="137"/>
      <c r="E8" s="138">
        <v>9000</v>
      </c>
      <c r="F8" s="138">
        <v>10000</v>
      </c>
      <c r="G8" s="138"/>
      <c r="H8" s="137"/>
      <c r="I8" s="138"/>
    </row>
    <row r="9" spans="1:9" ht="12.75">
      <c r="A9" s="134">
        <v>3</v>
      </c>
      <c r="B9" s="134">
        <v>20</v>
      </c>
      <c r="C9" s="134">
        <v>5</v>
      </c>
      <c r="D9" s="134"/>
      <c r="E9" s="124">
        <v>8000</v>
      </c>
      <c r="F9" s="124">
        <v>9000</v>
      </c>
      <c r="G9" s="124"/>
      <c r="H9" s="134"/>
      <c r="I9" s="124"/>
    </row>
    <row r="10" spans="1:9" ht="12.75">
      <c r="A10" s="134">
        <v>4</v>
      </c>
      <c r="B10" s="134">
        <v>33</v>
      </c>
      <c r="C10" s="134">
        <v>4</v>
      </c>
      <c r="D10" s="134"/>
      <c r="E10" s="124">
        <v>8500</v>
      </c>
      <c r="F10" s="124">
        <v>10000</v>
      </c>
      <c r="G10" s="124"/>
      <c r="H10" s="134"/>
      <c r="I10" s="124"/>
    </row>
    <row r="11" spans="1:9" ht="12.75">
      <c r="A11" s="137">
        <v>5</v>
      </c>
      <c r="B11" s="137">
        <v>24</v>
      </c>
      <c r="C11" s="137">
        <v>6</v>
      </c>
      <c r="D11" s="137"/>
      <c r="E11" s="138">
        <v>3500</v>
      </c>
      <c r="F11" s="138">
        <v>5000</v>
      </c>
      <c r="G11" s="138"/>
      <c r="H11" s="137"/>
      <c r="I11" s="138"/>
    </row>
    <row r="12" spans="1:9" ht="12.75">
      <c r="A12" s="137">
        <v>6</v>
      </c>
      <c r="B12" s="137">
        <v>25</v>
      </c>
      <c r="C12" s="137">
        <v>8</v>
      </c>
      <c r="D12" s="137"/>
      <c r="E12" s="138">
        <v>2500</v>
      </c>
      <c r="F12" s="138">
        <v>3000</v>
      </c>
      <c r="G12" s="138"/>
      <c r="H12" s="137"/>
      <c r="I12" s="138"/>
    </row>
    <row r="13" spans="1:9" ht="12.75">
      <c r="A13" s="134">
        <v>7</v>
      </c>
      <c r="B13" s="134">
        <v>26</v>
      </c>
      <c r="C13" s="134">
        <v>9</v>
      </c>
      <c r="D13" s="134"/>
      <c r="E13" s="124">
        <v>4500</v>
      </c>
      <c r="F13" s="124">
        <v>5000</v>
      </c>
      <c r="G13" s="124"/>
      <c r="H13" s="134"/>
      <c r="I13" s="124"/>
    </row>
    <row r="14" spans="1:9" ht="12.75">
      <c r="A14" s="134">
        <v>8</v>
      </c>
      <c r="B14" s="134">
        <v>28</v>
      </c>
      <c r="C14" s="134">
        <v>10</v>
      </c>
      <c r="D14" s="134"/>
      <c r="E14" s="124">
        <v>6000</v>
      </c>
      <c r="F14" s="124">
        <v>7000</v>
      </c>
      <c r="G14" s="124"/>
      <c r="H14" s="134"/>
      <c r="I14" s="124"/>
    </row>
    <row r="15" spans="1:9" ht="12.75">
      <c r="A15" s="137">
        <v>9</v>
      </c>
      <c r="B15" s="137">
        <v>29</v>
      </c>
      <c r="C15" s="137">
        <v>20</v>
      </c>
      <c r="D15" s="137"/>
      <c r="E15" s="138">
        <v>3500</v>
      </c>
      <c r="F15" s="138">
        <v>4000</v>
      </c>
      <c r="G15" s="138"/>
      <c r="H15" s="137"/>
      <c r="I15" s="138"/>
    </row>
    <row r="16" spans="1:9" ht="12.75">
      <c r="A16" s="137">
        <v>10</v>
      </c>
      <c r="B16" s="137">
        <v>30</v>
      </c>
      <c r="C16" s="137">
        <v>23</v>
      </c>
      <c r="D16" s="137"/>
      <c r="E16" s="138">
        <v>7500</v>
      </c>
      <c r="F16" s="138">
        <v>85000</v>
      </c>
      <c r="G16" s="138"/>
      <c r="H16" s="137"/>
      <c r="I16" s="138"/>
    </row>
    <row r="17" spans="1:9" ht="13.5" thickBot="1">
      <c r="A17" s="135"/>
      <c r="B17" s="135"/>
      <c r="C17" s="135"/>
      <c r="D17" s="135"/>
      <c r="E17" s="156" t="s">
        <v>204</v>
      </c>
      <c r="F17" s="156"/>
      <c r="G17" s="136"/>
      <c r="H17" s="136"/>
      <c r="I17" s="136"/>
    </row>
    <row r="18" ht="13.5" thickTop="1"/>
    <row r="20" ht="12.75">
      <c r="A20" t="s">
        <v>205</v>
      </c>
    </row>
    <row r="21" ht="12.75">
      <c r="A21" t="s">
        <v>206</v>
      </c>
    </row>
    <row r="22" ht="12.75">
      <c r="A22" t="s">
        <v>207</v>
      </c>
    </row>
    <row r="23" ht="12.75">
      <c r="A23" t="s">
        <v>208</v>
      </c>
    </row>
  </sheetData>
  <mergeCells count="6">
    <mergeCell ref="E17:F17"/>
    <mergeCell ref="A1:I1"/>
    <mergeCell ref="A2:I2"/>
    <mergeCell ref="A3:I3"/>
    <mergeCell ref="A5:A6"/>
    <mergeCell ref="G5:G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7">
      <selection activeCell="J9" sqref="J9"/>
    </sheetView>
  </sheetViews>
  <sheetFormatPr defaultColWidth="9.140625" defaultRowHeight="12.75"/>
  <cols>
    <col min="1" max="1" width="5.28125" style="0" customWidth="1"/>
    <col min="2" max="2" width="12.7109375" style="0" customWidth="1"/>
    <col min="3" max="3" width="15.7109375" style="0" customWidth="1"/>
    <col min="4" max="4" width="13.140625" style="0" customWidth="1"/>
    <col min="5" max="5" width="11.28125" style="0" customWidth="1"/>
    <col min="6" max="6" width="19.421875" style="0" customWidth="1"/>
    <col min="7" max="7" width="17.8515625" style="0" customWidth="1"/>
    <col min="8" max="8" width="14.7109375" style="0" customWidth="1"/>
    <col min="9" max="9" width="15.57421875" style="0" customWidth="1"/>
    <col min="10" max="10" width="13.00390625" style="0" customWidth="1"/>
  </cols>
  <sheetData>
    <row r="1" spans="1:10" ht="12.75">
      <c r="A1" s="157" t="s">
        <v>209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.75">
      <c r="A2" s="157" t="s">
        <v>210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2.75">
      <c r="A3" s="157" t="s">
        <v>211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2.75">
      <c r="A4" s="157" t="s">
        <v>212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2.75">
      <c r="A5" s="157" t="s">
        <v>213</v>
      </c>
      <c r="B5" s="157"/>
      <c r="C5" s="157"/>
      <c r="D5" s="157"/>
      <c r="E5" s="157"/>
      <c r="F5" s="157"/>
      <c r="G5" s="157"/>
      <c r="H5" s="157"/>
      <c r="I5" s="157"/>
      <c r="J5" s="157"/>
    </row>
    <row r="7" spans="1:10" ht="12.75">
      <c r="A7" s="159" t="s">
        <v>89</v>
      </c>
      <c r="B7" s="159" t="s">
        <v>214</v>
      </c>
      <c r="C7" s="104" t="s">
        <v>215</v>
      </c>
      <c r="D7" s="104" t="s">
        <v>27</v>
      </c>
      <c r="E7" s="104" t="s">
        <v>12</v>
      </c>
      <c r="F7" s="104" t="s">
        <v>216</v>
      </c>
      <c r="G7" s="104" t="s">
        <v>217</v>
      </c>
      <c r="H7" s="104" t="s">
        <v>218</v>
      </c>
      <c r="I7" s="104" t="s">
        <v>219</v>
      </c>
      <c r="J7" s="104" t="s">
        <v>220</v>
      </c>
    </row>
    <row r="8" spans="1:10" ht="12.75">
      <c r="A8" s="160"/>
      <c r="B8" s="160"/>
      <c r="C8" s="105" t="s">
        <v>221</v>
      </c>
      <c r="D8" s="105" t="s">
        <v>222</v>
      </c>
      <c r="E8" s="105" t="s">
        <v>222</v>
      </c>
      <c r="F8" s="105" t="s">
        <v>223</v>
      </c>
      <c r="G8" s="105" t="s">
        <v>224</v>
      </c>
      <c r="H8" s="105" t="s">
        <v>225</v>
      </c>
      <c r="I8" s="105" t="s">
        <v>226</v>
      </c>
      <c r="J8" s="105" t="s">
        <v>227</v>
      </c>
    </row>
    <row r="9" spans="1:10" ht="12.75">
      <c r="A9" s="106">
        <v>1</v>
      </c>
      <c r="B9" s="32">
        <v>64</v>
      </c>
      <c r="C9" s="32" t="s">
        <v>228</v>
      </c>
      <c r="D9" s="107">
        <v>3000</v>
      </c>
      <c r="E9" s="108">
        <v>3500</v>
      </c>
      <c r="F9" s="32">
        <f>D9*E9</f>
        <v>10500000</v>
      </c>
      <c r="G9" s="107">
        <v>4500</v>
      </c>
      <c r="H9" s="32">
        <f>G9*E9</f>
        <v>15750000</v>
      </c>
      <c r="I9" s="32">
        <f>(30/100)*H9</f>
        <v>4725000</v>
      </c>
      <c r="J9" s="32">
        <f>H9-(I9+F9)</f>
        <v>525000</v>
      </c>
    </row>
    <row r="10" spans="1:10" ht="12.75">
      <c r="A10" s="106"/>
      <c r="B10" s="32">
        <v>80</v>
      </c>
      <c r="C10" s="32"/>
      <c r="D10" s="107">
        <v>4000</v>
      </c>
      <c r="E10" s="108">
        <v>3500</v>
      </c>
      <c r="F10" s="32"/>
      <c r="G10" s="107">
        <v>5500</v>
      </c>
      <c r="H10" s="32"/>
      <c r="I10" s="32"/>
      <c r="J10" s="32"/>
    </row>
    <row r="11" spans="1:10" ht="12.75">
      <c r="A11" s="106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.75">
      <c r="A12" s="106">
        <v>2</v>
      </c>
      <c r="B12" s="32">
        <v>64</v>
      </c>
      <c r="C12" s="109">
        <v>0.5</v>
      </c>
      <c r="D12" s="107">
        <v>3200</v>
      </c>
      <c r="E12" s="108">
        <v>3500</v>
      </c>
      <c r="F12" s="32"/>
      <c r="G12" s="107">
        <v>4500</v>
      </c>
      <c r="H12" s="32"/>
      <c r="I12" s="32"/>
      <c r="J12" s="32"/>
    </row>
    <row r="13" spans="1:10" ht="12.75">
      <c r="A13" s="106"/>
      <c r="B13" s="32">
        <v>80</v>
      </c>
      <c r="C13" s="32"/>
      <c r="D13" s="107">
        <v>4200</v>
      </c>
      <c r="E13" s="108">
        <v>3500</v>
      </c>
      <c r="F13" s="32"/>
      <c r="G13" s="107">
        <v>5500</v>
      </c>
      <c r="H13" s="32"/>
      <c r="I13" s="32"/>
      <c r="J13" s="32"/>
    </row>
    <row r="14" spans="1:10" ht="12.75">
      <c r="A14" s="106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106">
        <v>3</v>
      </c>
      <c r="B15" s="32">
        <v>64</v>
      </c>
      <c r="C15" s="32" t="s">
        <v>229</v>
      </c>
      <c r="D15" s="107">
        <v>3500</v>
      </c>
      <c r="E15" s="108">
        <v>3500</v>
      </c>
      <c r="F15" s="32">
        <f>D15*E15</f>
        <v>12250000</v>
      </c>
      <c r="G15" s="107">
        <v>4500</v>
      </c>
      <c r="H15" s="32"/>
      <c r="I15" s="32"/>
      <c r="J15" s="32"/>
    </row>
    <row r="16" spans="1:10" ht="12.75">
      <c r="A16" s="106"/>
      <c r="B16" s="32">
        <v>80</v>
      </c>
      <c r="C16" s="32" t="s">
        <v>230</v>
      </c>
      <c r="D16" s="107">
        <v>4500</v>
      </c>
      <c r="E16" s="108">
        <v>3500</v>
      </c>
      <c r="F16" s="32"/>
      <c r="G16" s="107">
        <v>5500</v>
      </c>
      <c r="H16" s="32"/>
      <c r="I16" s="32"/>
      <c r="J16" s="32"/>
    </row>
    <row r="20" spans="1:6" ht="15">
      <c r="A20" s="152" t="s">
        <v>231</v>
      </c>
      <c r="B20" s="152"/>
      <c r="C20" s="152"/>
      <c r="D20" s="152"/>
      <c r="E20" s="152"/>
      <c r="F20" s="152"/>
    </row>
    <row r="21" spans="1:6" ht="15">
      <c r="A21" s="152" t="s">
        <v>436</v>
      </c>
      <c r="B21" s="152"/>
      <c r="C21" s="152"/>
      <c r="D21" s="152"/>
      <c r="E21" s="152"/>
      <c r="F21" s="152"/>
    </row>
    <row r="22" spans="1:6" ht="15">
      <c r="A22" s="152" t="s">
        <v>232</v>
      </c>
      <c r="B22" s="152"/>
      <c r="C22" s="152"/>
      <c r="D22" s="152"/>
      <c r="E22" s="152"/>
      <c r="F22" s="152"/>
    </row>
    <row r="23" spans="1:6" ht="15">
      <c r="A23" s="152" t="s">
        <v>437</v>
      </c>
      <c r="B23" s="152"/>
      <c r="C23" s="152"/>
      <c r="D23" s="152"/>
      <c r="E23" s="152"/>
      <c r="F23" s="152"/>
    </row>
    <row r="24" spans="1:6" ht="15">
      <c r="A24" s="152"/>
      <c r="B24" s="152"/>
      <c r="C24" s="152"/>
      <c r="D24" s="152"/>
      <c r="E24" s="152"/>
      <c r="F24" s="152"/>
    </row>
  </sheetData>
  <mergeCells count="7">
    <mergeCell ref="A5:J5"/>
    <mergeCell ref="A7:A8"/>
    <mergeCell ref="B7:B8"/>
    <mergeCell ref="A1:J1"/>
    <mergeCell ref="A2:J2"/>
    <mergeCell ref="A3:J3"/>
    <mergeCell ref="A4:J4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="125" zoomScaleNormal="125" workbookViewId="0" topLeftCell="A1">
      <selection activeCell="G28" sqref="G28"/>
    </sheetView>
  </sheetViews>
  <sheetFormatPr defaultColWidth="9.140625" defaultRowHeight="12.75"/>
  <cols>
    <col min="2" max="2" width="15.7109375" style="0" customWidth="1"/>
    <col min="3" max="3" width="8.7109375" style="0" customWidth="1"/>
    <col min="4" max="4" width="13.421875" style="0" customWidth="1"/>
    <col min="5" max="5" width="10.7109375" style="0" customWidth="1"/>
    <col min="6" max="6" width="11.421875" style="0" customWidth="1"/>
    <col min="7" max="7" width="10.57421875" style="0" customWidth="1"/>
    <col min="8" max="8" width="12.421875" style="0" customWidth="1"/>
    <col min="9" max="9" width="10.57421875" style="0" customWidth="1"/>
    <col min="10" max="11" width="13.421875" style="0" customWidth="1"/>
    <col min="12" max="12" width="11.7109375" style="0" customWidth="1"/>
    <col min="13" max="13" width="14.57421875" style="0" customWidth="1"/>
  </cols>
  <sheetData>
    <row r="1" spans="1:13" ht="12.75">
      <c r="A1" s="157" t="s">
        <v>233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2.75">
      <c r="A2" s="157" t="s">
        <v>427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2.75">
      <c r="A3" s="157" t="s">
        <v>428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2.75">
      <c r="A4" s="157" t="s">
        <v>429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6" spans="1:13" ht="12.75">
      <c r="A6" s="159" t="s">
        <v>234</v>
      </c>
      <c r="B6" s="104" t="s">
        <v>235</v>
      </c>
      <c r="C6" s="104" t="s">
        <v>236</v>
      </c>
      <c r="D6" s="104" t="s">
        <v>237</v>
      </c>
      <c r="E6" s="104" t="s">
        <v>238</v>
      </c>
      <c r="F6" s="104" t="s">
        <v>239</v>
      </c>
      <c r="G6" s="104" t="s">
        <v>240</v>
      </c>
      <c r="H6" s="104" t="s">
        <v>240</v>
      </c>
      <c r="I6" s="104" t="s">
        <v>240</v>
      </c>
      <c r="J6" s="104" t="s">
        <v>240</v>
      </c>
      <c r="K6" s="104" t="s">
        <v>237</v>
      </c>
      <c r="L6" s="104" t="s">
        <v>241</v>
      </c>
      <c r="M6" s="104" t="s">
        <v>237</v>
      </c>
    </row>
    <row r="7" spans="1:13" ht="12.75">
      <c r="A7" s="160"/>
      <c r="B7" s="105" t="s">
        <v>242</v>
      </c>
      <c r="C7" s="105" t="s">
        <v>243</v>
      </c>
      <c r="D7" s="105" t="s">
        <v>244</v>
      </c>
      <c r="E7" s="105" t="s">
        <v>245</v>
      </c>
      <c r="F7" s="105" t="s">
        <v>246</v>
      </c>
      <c r="G7" s="105" t="s">
        <v>247</v>
      </c>
      <c r="H7" s="105" t="s">
        <v>248</v>
      </c>
      <c r="I7" s="105" t="s">
        <v>249</v>
      </c>
      <c r="J7" s="105" t="s">
        <v>250</v>
      </c>
      <c r="K7" s="105" t="s">
        <v>225</v>
      </c>
      <c r="L7" s="105"/>
      <c r="M7" s="105" t="s">
        <v>203</v>
      </c>
    </row>
    <row r="8" spans="1:13" ht="12.75">
      <c r="A8" s="106">
        <v>12345</v>
      </c>
      <c r="B8" s="32" t="s">
        <v>251</v>
      </c>
      <c r="C8" s="32">
        <v>10</v>
      </c>
      <c r="D8" s="107">
        <v>1000000</v>
      </c>
      <c r="E8" s="149">
        <f>(1.5/100)*D8</f>
        <v>15000</v>
      </c>
      <c r="F8" s="149">
        <f>(2/100)*D8</f>
        <v>20000</v>
      </c>
      <c r="G8" s="149">
        <f>(1/100)*D8</f>
        <v>10000</v>
      </c>
      <c r="H8" s="149">
        <f>(3/100)*D8</f>
        <v>30000</v>
      </c>
      <c r="I8" s="149">
        <f>(2.5/100)*D8</f>
        <v>25000</v>
      </c>
      <c r="J8" s="149">
        <f>(1/100)*D8*C8</f>
        <v>100000</v>
      </c>
      <c r="K8" s="149">
        <f>D8+E8+F8+G8+H8+I8+J8</f>
        <v>1200000</v>
      </c>
      <c r="L8" s="149">
        <f>(1/100)*K8</f>
        <v>12000</v>
      </c>
      <c r="M8" s="149">
        <f>K8-L8</f>
        <v>1188000</v>
      </c>
    </row>
    <row r="9" spans="1:13" ht="12.75">
      <c r="A9" s="106">
        <v>12346</v>
      </c>
      <c r="B9" s="32" t="s">
        <v>252</v>
      </c>
      <c r="C9" s="32">
        <v>22</v>
      </c>
      <c r="D9" s="107">
        <v>1400000</v>
      </c>
      <c r="E9" s="149">
        <f aca="true" t="shared" si="0" ref="E9:E21">(1.5/100)*D9</f>
        <v>21000</v>
      </c>
      <c r="F9" s="149">
        <f aca="true" t="shared" si="1" ref="F9:F21">(2/100)*D9</f>
        <v>28000</v>
      </c>
      <c r="G9" s="149">
        <f aca="true" t="shared" si="2" ref="G9:G21">(1/100)*D9</f>
        <v>14000</v>
      </c>
      <c r="H9" s="149">
        <f aca="true" t="shared" si="3" ref="H9:H21">(3/100)*D9</f>
        <v>42000</v>
      </c>
      <c r="I9" s="149">
        <f aca="true" t="shared" si="4" ref="I9:I21">(2.5/100)*D9</f>
        <v>35000</v>
      </c>
      <c r="J9" s="149">
        <f aca="true" t="shared" si="5" ref="J9:J21">(1/100)*D9*C9</f>
        <v>308000</v>
      </c>
      <c r="K9" s="149">
        <f aca="true" t="shared" si="6" ref="K9:K21">D9+E9+F9+G9+H9+I9+J9</f>
        <v>1848000</v>
      </c>
      <c r="L9" s="149">
        <f aca="true" t="shared" si="7" ref="L9:L21">(1/100)*K9</f>
        <v>18480</v>
      </c>
      <c r="M9" s="149">
        <f aca="true" t="shared" si="8" ref="M9:M21">K9-L9</f>
        <v>1829520</v>
      </c>
    </row>
    <row r="10" spans="1:13" ht="12.75">
      <c r="A10" s="106">
        <v>12347</v>
      </c>
      <c r="B10" s="32" t="s">
        <v>253</v>
      </c>
      <c r="C10" s="32">
        <v>8</v>
      </c>
      <c r="D10" s="107">
        <v>700000</v>
      </c>
      <c r="E10" s="149">
        <f t="shared" si="0"/>
        <v>10500</v>
      </c>
      <c r="F10" s="149">
        <f t="shared" si="1"/>
        <v>14000</v>
      </c>
      <c r="G10" s="149">
        <f t="shared" si="2"/>
        <v>7000</v>
      </c>
      <c r="H10" s="149">
        <f t="shared" si="3"/>
        <v>21000</v>
      </c>
      <c r="I10" s="149">
        <f t="shared" si="4"/>
        <v>17500</v>
      </c>
      <c r="J10" s="149">
        <f t="shared" si="5"/>
        <v>56000</v>
      </c>
      <c r="K10" s="149">
        <f t="shared" si="6"/>
        <v>826000</v>
      </c>
      <c r="L10" s="149">
        <f t="shared" si="7"/>
        <v>8260</v>
      </c>
      <c r="M10" s="149">
        <f t="shared" si="8"/>
        <v>817740</v>
      </c>
    </row>
    <row r="11" spans="1:13" ht="12.75">
      <c r="A11" s="106">
        <v>12348</v>
      </c>
      <c r="B11" s="32" t="s">
        <v>254</v>
      </c>
      <c r="C11" s="32">
        <v>9</v>
      </c>
      <c r="D11" s="107">
        <v>790000</v>
      </c>
      <c r="E11" s="149">
        <f t="shared" si="0"/>
        <v>11850</v>
      </c>
      <c r="F11" s="149">
        <f t="shared" si="1"/>
        <v>15800</v>
      </c>
      <c r="G11" s="149">
        <f t="shared" si="2"/>
        <v>7900</v>
      </c>
      <c r="H11" s="149">
        <f t="shared" si="3"/>
        <v>23700</v>
      </c>
      <c r="I11" s="149">
        <f t="shared" si="4"/>
        <v>19750</v>
      </c>
      <c r="J11" s="149">
        <f t="shared" si="5"/>
        <v>71100</v>
      </c>
      <c r="K11" s="149">
        <f t="shared" si="6"/>
        <v>940100</v>
      </c>
      <c r="L11" s="149">
        <f t="shared" si="7"/>
        <v>9401</v>
      </c>
      <c r="M11" s="149">
        <f t="shared" si="8"/>
        <v>930699</v>
      </c>
    </row>
    <row r="12" spans="1:13" ht="12.75">
      <c r="A12" s="106">
        <v>12349</v>
      </c>
      <c r="B12" s="32" t="s">
        <v>255</v>
      </c>
      <c r="C12" s="32">
        <v>11</v>
      </c>
      <c r="D12" s="107">
        <v>1000000</v>
      </c>
      <c r="E12" s="149">
        <f t="shared" si="0"/>
        <v>15000</v>
      </c>
      <c r="F12" s="149">
        <f t="shared" si="1"/>
        <v>20000</v>
      </c>
      <c r="G12" s="149">
        <f t="shared" si="2"/>
        <v>10000</v>
      </c>
      <c r="H12" s="149">
        <f t="shared" si="3"/>
        <v>30000</v>
      </c>
      <c r="I12" s="149">
        <f t="shared" si="4"/>
        <v>25000</v>
      </c>
      <c r="J12" s="149">
        <f t="shared" si="5"/>
        <v>110000</v>
      </c>
      <c r="K12" s="149">
        <f t="shared" si="6"/>
        <v>1210000</v>
      </c>
      <c r="L12" s="149">
        <f t="shared" si="7"/>
        <v>12100</v>
      </c>
      <c r="M12" s="149">
        <f t="shared" si="8"/>
        <v>1197900</v>
      </c>
    </row>
    <row r="13" spans="1:13" ht="12.75">
      <c r="A13" s="106">
        <v>12350</v>
      </c>
      <c r="B13" s="32" t="s">
        <v>256</v>
      </c>
      <c r="C13" s="32">
        <v>20</v>
      </c>
      <c r="D13" s="107">
        <v>1350000</v>
      </c>
      <c r="E13" s="149">
        <f t="shared" si="0"/>
        <v>20250</v>
      </c>
      <c r="F13" s="149">
        <f t="shared" si="1"/>
        <v>27000</v>
      </c>
      <c r="G13" s="149">
        <f t="shared" si="2"/>
        <v>13500</v>
      </c>
      <c r="H13" s="149">
        <f t="shared" si="3"/>
        <v>40500</v>
      </c>
      <c r="I13" s="149">
        <f t="shared" si="4"/>
        <v>33750</v>
      </c>
      <c r="J13" s="149">
        <f t="shared" si="5"/>
        <v>270000</v>
      </c>
      <c r="K13" s="149">
        <f t="shared" si="6"/>
        <v>1755000</v>
      </c>
      <c r="L13" s="149">
        <f t="shared" si="7"/>
        <v>17550</v>
      </c>
      <c r="M13" s="149">
        <f t="shared" si="8"/>
        <v>1737450</v>
      </c>
    </row>
    <row r="14" spans="1:13" ht="12.75">
      <c r="A14" s="106">
        <v>12351</v>
      </c>
      <c r="B14" s="32" t="s">
        <v>257</v>
      </c>
      <c r="C14" s="32">
        <v>16</v>
      </c>
      <c r="D14" s="107">
        <v>1400000</v>
      </c>
      <c r="E14" s="149">
        <f t="shared" si="0"/>
        <v>21000</v>
      </c>
      <c r="F14" s="149">
        <f t="shared" si="1"/>
        <v>28000</v>
      </c>
      <c r="G14" s="149">
        <f t="shared" si="2"/>
        <v>14000</v>
      </c>
      <c r="H14" s="149">
        <f t="shared" si="3"/>
        <v>42000</v>
      </c>
      <c r="I14" s="149">
        <f t="shared" si="4"/>
        <v>35000</v>
      </c>
      <c r="J14" s="149">
        <f t="shared" si="5"/>
        <v>224000</v>
      </c>
      <c r="K14" s="149">
        <f t="shared" si="6"/>
        <v>1764000</v>
      </c>
      <c r="L14" s="149">
        <f t="shared" si="7"/>
        <v>17640</v>
      </c>
      <c r="M14" s="149">
        <f t="shared" si="8"/>
        <v>1746360</v>
      </c>
    </row>
    <row r="15" spans="1:13" ht="12.75">
      <c r="A15" s="106">
        <v>12352</v>
      </c>
      <c r="B15" s="32" t="s">
        <v>258</v>
      </c>
      <c r="C15" s="32">
        <v>17</v>
      </c>
      <c r="D15" s="107">
        <v>1650000</v>
      </c>
      <c r="E15" s="149">
        <f t="shared" si="0"/>
        <v>24750</v>
      </c>
      <c r="F15" s="149">
        <f t="shared" si="1"/>
        <v>33000</v>
      </c>
      <c r="G15" s="149">
        <f t="shared" si="2"/>
        <v>16500</v>
      </c>
      <c r="H15" s="149">
        <f t="shared" si="3"/>
        <v>49500</v>
      </c>
      <c r="I15" s="149">
        <f t="shared" si="4"/>
        <v>41250</v>
      </c>
      <c r="J15" s="149">
        <f t="shared" si="5"/>
        <v>280500</v>
      </c>
      <c r="K15" s="149">
        <f t="shared" si="6"/>
        <v>2095500</v>
      </c>
      <c r="L15" s="149">
        <f t="shared" si="7"/>
        <v>20955</v>
      </c>
      <c r="M15" s="149">
        <f t="shared" si="8"/>
        <v>2074545</v>
      </c>
    </row>
    <row r="16" spans="1:13" ht="12.75">
      <c r="A16" s="106">
        <v>12353</v>
      </c>
      <c r="B16" s="32" t="s">
        <v>259</v>
      </c>
      <c r="C16" s="32">
        <v>19</v>
      </c>
      <c r="D16" s="107">
        <v>1600000</v>
      </c>
      <c r="E16" s="149">
        <f t="shared" si="0"/>
        <v>24000</v>
      </c>
      <c r="F16" s="149">
        <f t="shared" si="1"/>
        <v>32000</v>
      </c>
      <c r="G16" s="149">
        <f t="shared" si="2"/>
        <v>16000</v>
      </c>
      <c r="H16" s="149">
        <f t="shared" si="3"/>
        <v>48000</v>
      </c>
      <c r="I16" s="149">
        <f t="shared" si="4"/>
        <v>40000</v>
      </c>
      <c r="J16" s="149">
        <f t="shared" si="5"/>
        <v>304000</v>
      </c>
      <c r="K16" s="149">
        <f t="shared" si="6"/>
        <v>2064000</v>
      </c>
      <c r="L16" s="149">
        <f t="shared" si="7"/>
        <v>20640</v>
      </c>
      <c r="M16" s="149">
        <f t="shared" si="8"/>
        <v>2043360</v>
      </c>
    </row>
    <row r="17" spans="1:13" ht="12.75">
      <c r="A17" s="106">
        <v>12354</v>
      </c>
      <c r="B17" s="32" t="s">
        <v>260</v>
      </c>
      <c r="C17" s="32">
        <v>14</v>
      </c>
      <c r="D17" s="107">
        <v>1500000</v>
      </c>
      <c r="E17" s="149">
        <f t="shared" si="0"/>
        <v>22500</v>
      </c>
      <c r="F17" s="149">
        <f t="shared" si="1"/>
        <v>30000</v>
      </c>
      <c r="G17" s="149">
        <f t="shared" si="2"/>
        <v>15000</v>
      </c>
      <c r="H17" s="149">
        <f t="shared" si="3"/>
        <v>45000</v>
      </c>
      <c r="I17" s="149">
        <f t="shared" si="4"/>
        <v>37500</v>
      </c>
      <c r="J17" s="149">
        <f t="shared" si="5"/>
        <v>210000</v>
      </c>
      <c r="K17" s="149">
        <f t="shared" si="6"/>
        <v>1860000</v>
      </c>
      <c r="L17" s="149">
        <f t="shared" si="7"/>
        <v>18600</v>
      </c>
      <c r="M17" s="149">
        <f t="shared" si="8"/>
        <v>1841400</v>
      </c>
    </row>
    <row r="18" spans="1:13" ht="12.75">
      <c r="A18" s="106">
        <v>12355</v>
      </c>
      <c r="B18" s="32" t="s">
        <v>261</v>
      </c>
      <c r="C18" s="32">
        <v>19</v>
      </c>
      <c r="D18" s="107">
        <v>1550000</v>
      </c>
      <c r="E18" s="149">
        <f t="shared" si="0"/>
        <v>23250</v>
      </c>
      <c r="F18" s="149">
        <f t="shared" si="1"/>
        <v>31000</v>
      </c>
      <c r="G18" s="149">
        <f t="shared" si="2"/>
        <v>15500</v>
      </c>
      <c r="H18" s="149">
        <f t="shared" si="3"/>
        <v>46500</v>
      </c>
      <c r="I18" s="149">
        <f t="shared" si="4"/>
        <v>38750</v>
      </c>
      <c r="J18" s="149">
        <f t="shared" si="5"/>
        <v>294500</v>
      </c>
      <c r="K18" s="149">
        <f t="shared" si="6"/>
        <v>1999500</v>
      </c>
      <c r="L18" s="149">
        <f t="shared" si="7"/>
        <v>19995</v>
      </c>
      <c r="M18" s="149">
        <f t="shared" si="8"/>
        <v>1979505</v>
      </c>
    </row>
    <row r="19" spans="1:13" ht="12.75">
      <c r="A19" s="106">
        <v>12356</v>
      </c>
      <c r="B19" s="32" t="s">
        <v>262</v>
      </c>
      <c r="C19" s="32">
        <v>13</v>
      </c>
      <c r="D19" s="107">
        <v>1650000</v>
      </c>
      <c r="E19" s="149">
        <f t="shared" si="0"/>
        <v>24750</v>
      </c>
      <c r="F19" s="149">
        <f t="shared" si="1"/>
        <v>33000</v>
      </c>
      <c r="G19" s="149">
        <f t="shared" si="2"/>
        <v>16500</v>
      </c>
      <c r="H19" s="149">
        <f t="shared" si="3"/>
        <v>49500</v>
      </c>
      <c r="I19" s="149">
        <f t="shared" si="4"/>
        <v>41250</v>
      </c>
      <c r="J19" s="149">
        <f t="shared" si="5"/>
        <v>214500</v>
      </c>
      <c r="K19" s="149">
        <f t="shared" si="6"/>
        <v>2029500</v>
      </c>
      <c r="L19" s="149">
        <f t="shared" si="7"/>
        <v>20295</v>
      </c>
      <c r="M19" s="149">
        <f t="shared" si="8"/>
        <v>2009205</v>
      </c>
    </row>
    <row r="20" spans="1:13" ht="12.75">
      <c r="A20" s="106">
        <v>12357</v>
      </c>
      <c r="B20" s="32" t="s">
        <v>263</v>
      </c>
      <c r="C20" s="32">
        <v>15</v>
      </c>
      <c r="D20" s="107">
        <v>1350000</v>
      </c>
      <c r="E20" s="149">
        <f t="shared" si="0"/>
        <v>20250</v>
      </c>
      <c r="F20" s="149">
        <f t="shared" si="1"/>
        <v>27000</v>
      </c>
      <c r="G20" s="149">
        <f t="shared" si="2"/>
        <v>13500</v>
      </c>
      <c r="H20" s="149">
        <f t="shared" si="3"/>
        <v>40500</v>
      </c>
      <c r="I20" s="149">
        <f t="shared" si="4"/>
        <v>33750</v>
      </c>
      <c r="J20" s="149">
        <f t="shared" si="5"/>
        <v>202500</v>
      </c>
      <c r="K20" s="149">
        <f t="shared" si="6"/>
        <v>1687500</v>
      </c>
      <c r="L20" s="149">
        <f t="shared" si="7"/>
        <v>16875</v>
      </c>
      <c r="M20" s="149">
        <f t="shared" si="8"/>
        <v>1670625</v>
      </c>
    </row>
    <row r="21" spans="1:13" ht="12.75">
      <c r="A21" s="106">
        <v>12358</v>
      </c>
      <c r="B21" s="32" t="s">
        <v>264</v>
      </c>
      <c r="C21" s="32">
        <v>12</v>
      </c>
      <c r="D21" s="107">
        <v>1450000</v>
      </c>
      <c r="E21" s="149">
        <f t="shared" si="0"/>
        <v>21750</v>
      </c>
      <c r="F21" s="149">
        <f t="shared" si="1"/>
        <v>29000</v>
      </c>
      <c r="G21" s="149">
        <f t="shared" si="2"/>
        <v>14500</v>
      </c>
      <c r="H21" s="149">
        <f t="shared" si="3"/>
        <v>43500</v>
      </c>
      <c r="I21" s="149">
        <f t="shared" si="4"/>
        <v>36250</v>
      </c>
      <c r="J21" s="149">
        <f t="shared" si="5"/>
        <v>174000</v>
      </c>
      <c r="K21" s="149">
        <f t="shared" si="6"/>
        <v>1769000</v>
      </c>
      <c r="L21" s="149">
        <f t="shared" si="7"/>
        <v>17690</v>
      </c>
      <c r="M21" s="149">
        <f t="shared" si="8"/>
        <v>1751310</v>
      </c>
    </row>
    <row r="22" spans="1:13" ht="12.75">
      <c r="A22" s="110" t="s">
        <v>265</v>
      </c>
      <c r="B22" s="111"/>
      <c r="C22" s="112"/>
      <c r="D22" s="150">
        <f>SUM(D8:D21)</f>
        <v>18390000</v>
      </c>
      <c r="E22" s="150">
        <f aca="true" t="shared" si="9" ref="E22:K22">SUM(E8:E21)</f>
        <v>275850</v>
      </c>
      <c r="F22" s="150">
        <f t="shared" si="9"/>
        <v>367800</v>
      </c>
      <c r="G22" s="150">
        <f t="shared" si="9"/>
        <v>183900</v>
      </c>
      <c r="H22" s="150">
        <f t="shared" si="9"/>
        <v>551700</v>
      </c>
      <c r="I22" s="150">
        <f t="shared" si="9"/>
        <v>459750</v>
      </c>
      <c r="J22" s="150">
        <f t="shared" si="9"/>
        <v>2819100</v>
      </c>
      <c r="K22" s="150">
        <f t="shared" si="9"/>
        <v>23048100</v>
      </c>
      <c r="L22" s="150">
        <f>SUM(L8:L21)</f>
        <v>230481</v>
      </c>
      <c r="M22" s="150">
        <f>SUM(M8:M21)</f>
        <v>22817619</v>
      </c>
    </row>
    <row r="23" spans="1:13" ht="12.75">
      <c r="A23" s="110" t="s">
        <v>266</v>
      </c>
      <c r="B23" s="111"/>
      <c r="C23" s="112"/>
      <c r="D23" s="150">
        <f>AVERAGE(D8:D21)</f>
        <v>1313571.4285714286</v>
      </c>
      <c r="E23" s="107">
        <f aca="true" t="shared" si="10" ref="E23:M23">AVERAGE(E8:E21)</f>
        <v>19703.571428571428</v>
      </c>
      <c r="F23" s="107">
        <f t="shared" si="10"/>
        <v>26271.428571428572</v>
      </c>
      <c r="G23" s="107">
        <f t="shared" si="10"/>
        <v>13135.714285714286</v>
      </c>
      <c r="H23" s="107">
        <f t="shared" si="10"/>
        <v>39407.142857142855</v>
      </c>
      <c r="I23" s="107">
        <f t="shared" si="10"/>
        <v>32839.28571428572</v>
      </c>
      <c r="J23" s="107">
        <f t="shared" si="10"/>
        <v>201364.2857142857</v>
      </c>
      <c r="K23" s="107">
        <f t="shared" si="10"/>
        <v>1646292.857142857</v>
      </c>
      <c r="L23" s="107">
        <f t="shared" si="10"/>
        <v>16462.928571428572</v>
      </c>
      <c r="M23" s="107">
        <f t="shared" si="10"/>
        <v>1629829.9285714286</v>
      </c>
    </row>
    <row r="24" spans="1:13" ht="12.75">
      <c r="A24" s="110" t="s">
        <v>267</v>
      </c>
      <c r="B24" s="111"/>
      <c r="C24" s="112"/>
      <c r="D24" s="150">
        <f>MAX(D8:D21)</f>
        <v>1650000</v>
      </c>
      <c r="E24" s="107">
        <f aca="true" t="shared" si="11" ref="E24:M24">MAX(E8:E21)</f>
        <v>24750</v>
      </c>
      <c r="F24" s="107">
        <f t="shared" si="11"/>
        <v>33000</v>
      </c>
      <c r="G24" s="107">
        <f t="shared" si="11"/>
        <v>16500</v>
      </c>
      <c r="H24" s="107">
        <f t="shared" si="11"/>
        <v>49500</v>
      </c>
      <c r="I24" s="107">
        <f t="shared" si="11"/>
        <v>41250</v>
      </c>
      <c r="J24" s="107">
        <f t="shared" si="11"/>
        <v>308000</v>
      </c>
      <c r="K24" s="107">
        <f t="shared" si="11"/>
        <v>2095500</v>
      </c>
      <c r="L24" s="107">
        <f t="shared" si="11"/>
        <v>20955</v>
      </c>
      <c r="M24" s="107">
        <f t="shared" si="11"/>
        <v>2074545</v>
      </c>
    </row>
    <row r="25" spans="1:13" ht="12.75">
      <c r="A25" s="110" t="s">
        <v>268</v>
      </c>
      <c r="B25" s="111"/>
      <c r="C25" s="112"/>
      <c r="D25" s="150">
        <f>MIN(D8:D21)</f>
        <v>700000</v>
      </c>
      <c r="E25" s="107">
        <f aca="true" t="shared" si="12" ref="E25:M25">MIN(E8:E21)</f>
        <v>10500</v>
      </c>
      <c r="F25" s="107">
        <f t="shared" si="12"/>
        <v>14000</v>
      </c>
      <c r="G25" s="107">
        <f t="shared" si="12"/>
        <v>7000</v>
      </c>
      <c r="H25" s="107">
        <f t="shared" si="12"/>
        <v>21000</v>
      </c>
      <c r="I25" s="107">
        <f t="shared" si="12"/>
        <v>17500</v>
      </c>
      <c r="J25" s="107">
        <f t="shared" si="12"/>
        <v>56000</v>
      </c>
      <c r="K25" s="107">
        <f t="shared" si="12"/>
        <v>826000</v>
      </c>
      <c r="L25" s="107">
        <f t="shared" si="12"/>
        <v>8260</v>
      </c>
      <c r="M25" s="107">
        <f t="shared" si="12"/>
        <v>817740</v>
      </c>
    </row>
    <row r="27" ht="12.75">
      <c r="D27" s="151" t="s">
        <v>433</v>
      </c>
    </row>
    <row r="28" spans="4:11" ht="12.75">
      <c r="D28" s="151" t="s">
        <v>434</v>
      </c>
      <c r="G28" t="s">
        <v>435</v>
      </c>
      <c r="K28" t="s">
        <v>432</v>
      </c>
    </row>
    <row r="29" ht="12.75">
      <c r="A29" t="s">
        <v>269</v>
      </c>
    </row>
    <row r="30" spans="1:7" ht="12.75">
      <c r="A30" t="s">
        <v>270</v>
      </c>
      <c r="C30" t="s">
        <v>271</v>
      </c>
      <c r="E30" t="s">
        <v>272</v>
      </c>
      <c r="G30" t="s">
        <v>273</v>
      </c>
    </row>
    <row r="31" spans="1:7" ht="12.75">
      <c r="A31" t="s">
        <v>274</v>
      </c>
      <c r="C31" t="s">
        <v>275</v>
      </c>
      <c r="E31" t="s">
        <v>431</v>
      </c>
      <c r="G31" t="s">
        <v>430</v>
      </c>
    </row>
    <row r="32" spans="1:7" ht="12.75">
      <c r="A32" t="s">
        <v>276</v>
      </c>
      <c r="C32" t="s">
        <v>277</v>
      </c>
      <c r="E32" t="s">
        <v>278</v>
      </c>
      <c r="G32" t="s">
        <v>279</v>
      </c>
    </row>
    <row r="33" spans="1:7" ht="12.75">
      <c r="A33" t="s">
        <v>280</v>
      </c>
      <c r="C33" t="s">
        <v>281</v>
      </c>
      <c r="E33" t="s">
        <v>282</v>
      </c>
      <c r="G33" t="s">
        <v>283</v>
      </c>
    </row>
    <row r="34" spans="1:3" ht="12.75">
      <c r="A34" t="s">
        <v>284</v>
      </c>
      <c r="C34" t="s">
        <v>285</v>
      </c>
    </row>
    <row r="36" ht="12.75">
      <c r="F36" t="e">
        <f>E8:E21</f>
        <v>#VALUE!</v>
      </c>
    </row>
  </sheetData>
  <mergeCells count="5">
    <mergeCell ref="A6:A7"/>
    <mergeCell ref="A1:M1"/>
    <mergeCell ref="A2:M2"/>
    <mergeCell ref="A3:M3"/>
    <mergeCell ref="A4:M4"/>
  </mergeCells>
  <hyperlinks>
    <hyperlink ref="D27" r:id="rId1" display="aguswur_smajenawi@yahoo.co.id"/>
    <hyperlink ref="D28" r:id="rId2" display="aguswuryanto1974@gmail.com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50" zoomScaleNormal="150" workbookViewId="0" topLeftCell="A1">
      <selection activeCell="G13" sqref="G13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0.7109375" style="0" customWidth="1"/>
    <col min="4" max="4" width="12.7109375" style="0" customWidth="1"/>
    <col min="5" max="5" width="12.140625" style="0" customWidth="1"/>
    <col min="6" max="7" width="10.57421875" style="0" customWidth="1"/>
    <col min="8" max="8" width="12.421875" style="0" customWidth="1"/>
    <col min="9" max="9" width="12.57421875" style="0" customWidth="1"/>
    <col min="10" max="10" width="14.8515625" style="0" customWidth="1"/>
    <col min="11" max="11" width="12.421875" style="0" customWidth="1"/>
    <col min="12" max="12" width="10.57421875" style="0" customWidth="1"/>
  </cols>
  <sheetData>
    <row r="1" spans="1:12" ht="12.75">
      <c r="A1" s="161" t="s">
        <v>286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3" spans="1:12" ht="12.75">
      <c r="A3" s="162" t="s">
        <v>89</v>
      </c>
      <c r="B3" s="162" t="s">
        <v>0</v>
      </c>
      <c r="C3" s="53" t="s">
        <v>287</v>
      </c>
      <c r="D3" s="53" t="s">
        <v>287</v>
      </c>
      <c r="E3" s="53" t="s">
        <v>287</v>
      </c>
      <c r="F3" s="162" t="s">
        <v>288</v>
      </c>
      <c r="G3" s="162" t="s">
        <v>245</v>
      </c>
      <c r="H3" s="162" t="s">
        <v>289</v>
      </c>
      <c r="I3" s="104" t="s">
        <v>2</v>
      </c>
      <c r="J3" s="104" t="s">
        <v>290</v>
      </c>
      <c r="K3" s="104" t="s">
        <v>290</v>
      </c>
      <c r="L3" s="104" t="s">
        <v>2</v>
      </c>
    </row>
    <row r="4" spans="1:12" ht="12.75">
      <c r="A4" s="163"/>
      <c r="B4" s="163"/>
      <c r="C4" s="74" t="s">
        <v>288</v>
      </c>
      <c r="D4" s="74" t="s">
        <v>245</v>
      </c>
      <c r="E4" s="74" t="s">
        <v>289</v>
      </c>
      <c r="F4" s="163"/>
      <c r="G4" s="163"/>
      <c r="H4" s="163"/>
      <c r="I4" s="105" t="s">
        <v>244</v>
      </c>
      <c r="J4" s="105" t="s">
        <v>291</v>
      </c>
      <c r="K4" s="105" t="s">
        <v>289</v>
      </c>
      <c r="L4" s="105" t="s">
        <v>203</v>
      </c>
    </row>
    <row r="5" spans="1:12" ht="12.75">
      <c r="A5" s="154">
        <v>1</v>
      </c>
      <c r="B5" s="155" t="s">
        <v>292</v>
      </c>
      <c r="C5" s="155" t="s">
        <v>293</v>
      </c>
      <c r="D5" s="155" t="s">
        <v>294</v>
      </c>
      <c r="E5" s="155" t="s">
        <v>295</v>
      </c>
      <c r="F5" s="153" t="str">
        <f>IF(C5="B","Bujang","Kawin")</f>
        <v>Kawin</v>
      </c>
      <c r="G5" s="153" t="str">
        <f>IF(D5="STA","Staff",IF(D5="HNR","Honorer",IF(D5="INST","Instruktur")))</f>
        <v>Honorer</v>
      </c>
      <c r="H5" s="153" t="str">
        <f>IF(E5="KEU","Keuangan",IF(E5="ADM","Administrasi",IF(E5="KOM","Komputer",IF(E5="MAR","Marketing"))))</f>
        <v>Administrasi</v>
      </c>
      <c r="I5" s="153" t="str">
        <f>IF(G5="Honorer","300000",IF(G5="Instruktur","1000000",IF(G5="Staff","800000")))</f>
        <v>300000</v>
      </c>
      <c r="J5" s="153">
        <f>IF(F5="Kawin",5%*I5,IF(F5="Bujang","1"%*I5))</f>
        <v>15000</v>
      </c>
      <c r="K5" s="153" t="str">
        <f>IF(E5="ADM","50000",IF(E5="KOM","100000",IF(E5="MAR","75000")))</f>
        <v>50000</v>
      </c>
      <c r="L5" s="153">
        <f>I5+J5+K5</f>
        <v>365000</v>
      </c>
    </row>
    <row r="6" spans="1:12" ht="12.75">
      <c r="A6" s="154">
        <v>2</v>
      </c>
      <c r="B6" s="155" t="s">
        <v>296</v>
      </c>
      <c r="C6" s="155" t="s">
        <v>64</v>
      </c>
      <c r="D6" s="155" t="s">
        <v>297</v>
      </c>
      <c r="E6" s="155" t="s">
        <v>298</v>
      </c>
      <c r="F6" s="153" t="str">
        <f aca="true" t="shared" si="0" ref="F6:F14">IF(C6="B","Bujang","Kawin")</f>
        <v>Bujang</v>
      </c>
      <c r="G6" s="153" t="str">
        <f aca="true" t="shared" si="1" ref="G6:G14">IF(D6="STA","Staff",IF(D6="HNR","Honorer",IF(D6="INST","Instruktur")))</f>
        <v>Staff</v>
      </c>
      <c r="H6" s="153" t="str">
        <f aca="true" t="shared" si="2" ref="H6:H14">IF(E6="KEU","Keuangan",IF(E6="ADM","Administrasi",IF(E6="KOM","Komputer",IF(E6="MAR","Marketing"))))</f>
        <v>Marketing</v>
      </c>
      <c r="I6" s="153" t="str">
        <f aca="true" t="shared" si="3" ref="I6:I14">IF(G6="Honorer","300000",IF(G6="Instruktur","1000000",IF(G6="Staff","800000")))</f>
        <v>800000</v>
      </c>
      <c r="J6" s="153">
        <f aca="true" t="shared" si="4" ref="J6:J13">IF(F6="Kawin",5%*I6,IF(F6="Bujang","1"%*I6))</f>
        <v>8000</v>
      </c>
      <c r="K6" s="153" t="str">
        <f aca="true" t="shared" si="5" ref="K6:K13">IF(E6="ADM","50000",IF(E6="KOM","100000",IF(E6="MAR","75000")))</f>
        <v>75000</v>
      </c>
      <c r="L6" s="153">
        <f aca="true" t="shared" si="6" ref="L6:L14">I6+J6+K6</f>
        <v>883000</v>
      </c>
    </row>
    <row r="7" spans="1:12" ht="12.75">
      <c r="A7" s="154">
        <v>3</v>
      </c>
      <c r="B7" s="155" t="s">
        <v>299</v>
      </c>
      <c r="C7" s="155" t="s">
        <v>293</v>
      </c>
      <c r="D7" s="155" t="s">
        <v>294</v>
      </c>
      <c r="E7" s="155" t="s">
        <v>295</v>
      </c>
      <c r="F7" s="153" t="str">
        <f t="shared" si="0"/>
        <v>Kawin</v>
      </c>
      <c r="G7" s="153" t="str">
        <f t="shared" si="1"/>
        <v>Honorer</v>
      </c>
      <c r="H7" s="153" t="str">
        <f t="shared" si="2"/>
        <v>Administrasi</v>
      </c>
      <c r="I7" s="153" t="str">
        <f t="shared" si="3"/>
        <v>300000</v>
      </c>
      <c r="J7" s="153">
        <f t="shared" si="4"/>
        <v>15000</v>
      </c>
      <c r="K7" s="153" t="str">
        <f t="shared" si="5"/>
        <v>50000</v>
      </c>
      <c r="L7" s="153">
        <f t="shared" si="6"/>
        <v>365000</v>
      </c>
    </row>
    <row r="8" spans="1:12" ht="12.75">
      <c r="A8" s="154">
        <v>4</v>
      </c>
      <c r="B8" s="155" t="s">
        <v>300</v>
      </c>
      <c r="C8" s="155" t="s">
        <v>64</v>
      </c>
      <c r="D8" s="155" t="s">
        <v>297</v>
      </c>
      <c r="E8" s="155" t="s">
        <v>298</v>
      </c>
      <c r="F8" s="153" t="str">
        <f t="shared" si="0"/>
        <v>Bujang</v>
      </c>
      <c r="G8" s="153" t="str">
        <f t="shared" si="1"/>
        <v>Staff</v>
      </c>
      <c r="H8" s="153" t="str">
        <f t="shared" si="2"/>
        <v>Marketing</v>
      </c>
      <c r="I8" s="153" t="str">
        <f t="shared" si="3"/>
        <v>800000</v>
      </c>
      <c r="J8" s="153">
        <f t="shared" si="4"/>
        <v>8000</v>
      </c>
      <c r="K8" s="153" t="str">
        <f t="shared" si="5"/>
        <v>75000</v>
      </c>
      <c r="L8" s="153">
        <f t="shared" si="6"/>
        <v>883000</v>
      </c>
    </row>
    <row r="9" spans="1:12" ht="12.75">
      <c r="A9" s="154">
        <v>5</v>
      </c>
      <c r="B9" s="155" t="s">
        <v>301</v>
      </c>
      <c r="C9" s="155" t="s">
        <v>293</v>
      </c>
      <c r="D9" s="155" t="s">
        <v>302</v>
      </c>
      <c r="E9" s="155" t="s">
        <v>303</v>
      </c>
      <c r="F9" s="153" t="str">
        <f t="shared" si="0"/>
        <v>Kawin</v>
      </c>
      <c r="G9" s="153" t="str">
        <f t="shared" si="1"/>
        <v>Instruktur</v>
      </c>
      <c r="H9" s="153" t="str">
        <f t="shared" si="2"/>
        <v>Komputer</v>
      </c>
      <c r="I9" s="153" t="str">
        <f t="shared" si="3"/>
        <v>1000000</v>
      </c>
      <c r="J9" s="153">
        <f t="shared" si="4"/>
        <v>50000</v>
      </c>
      <c r="K9" s="153" t="str">
        <f t="shared" si="5"/>
        <v>100000</v>
      </c>
      <c r="L9" s="153">
        <f t="shared" si="6"/>
        <v>1150000</v>
      </c>
    </row>
    <row r="10" spans="1:12" ht="12.75">
      <c r="A10" s="154">
        <v>6</v>
      </c>
      <c r="B10" s="155" t="s">
        <v>304</v>
      </c>
      <c r="C10" s="155" t="s">
        <v>64</v>
      </c>
      <c r="D10" s="155" t="s">
        <v>302</v>
      </c>
      <c r="E10" s="155" t="s">
        <v>303</v>
      </c>
      <c r="F10" s="153" t="str">
        <f t="shared" si="0"/>
        <v>Bujang</v>
      </c>
      <c r="G10" s="153" t="str">
        <f t="shared" si="1"/>
        <v>Instruktur</v>
      </c>
      <c r="H10" s="153" t="str">
        <f t="shared" si="2"/>
        <v>Komputer</v>
      </c>
      <c r="I10" s="153" t="str">
        <f t="shared" si="3"/>
        <v>1000000</v>
      </c>
      <c r="J10" s="153">
        <f t="shared" si="4"/>
        <v>10000</v>
      </c>
      <c r="K10" s="153" t="str">
        <f t="shared" si="5"/>
        <v>100000</v>
      </c>
      <c r="L10" s="153">
        <f t="shared" si="6"/>
        <v>1110000</v>
      </c>
    </row>
    <row r="11" spans="1:12" ht="12.75">
      <c r="A11" s="154">
        <v>7</v>
      </c>
      <c r="B11" s="155" t="s">
        <v>305</v>
      </c>
      <c r="C11" s="155" t="s">
        <v>64</v>
      </c>
      <c r="D11" s="155" t="s">
        <v>297</v>
      </c>
      <c r="E11" s="155" t="s">
        <v>298</v>
      </c>
      <c r="F11" s="153" t="str">
        <f t="shared" si="0"/>
        <v>Bujang</v>
      </c>
      <c r="G11" s="153" t="str">
        <f t="shared" si="1"/>
        <v>Staff</v>
      </c>
      <c r="H11" s="153" t="str">
        <f t="shared" si="2"/>
        <v>Marketing</v>
      </c>
      <c r="I11" s="153" t="str">
        <f t="shared" si="3"/>
        <v>800000</v>
      </c>
      <c r="J11" s="153">
        <f t="shared" si="4"/>
        <v>8000</v>
      </c>
      <c r="K11" s="153" t="str">
        <f t="shared" si="5"/>
        <v>75000</v>
      </c>
      <c r="L11" s="153">
        <f t="shared" si="6"/>
        <v>883000</v>
      </c>
    </row>
    <row r="12" spans="1:12" ht="12.75">
      <c r="A12" s="154">
        <v>8</v>
      </c>
      <c r="B12" s="155" t="s">
        <v>306</v>
      </c>
      <c r="C12" s="155" t="s">
        <v>293</v>
      </c>
      <c r="D12" s="155" t="s">
        <v>294</v>
      </c>
      <c r="E12" s="155" t="s">
        <v>295</v>
      </c>
      <c r="F12" s="153" t="str">
        <f t="shared" si="0"/>
        <v>Kawin</v>
      </c>
      <c r="G12" s="153" t="str">
        <f t="shared" si="1"/>
        <v>Honorer</v>
      </c>
      <c r="H12" s="153" t="str">
        <f t="shared" si="2"/>
        <v>Administrasi</v>
      </c>
      <c r="I12" s="153" t="str">
        <f t="shared" si="3"/>
        <v>300000</v>
      </c>
      <c r="J12" s="153">
        <f t="shared" si="4"/>
        <v>15000</v>
      </c>
      <c r="K12" s="153" t="str">
        <f t="shared" si="5"/>
        <v>50000</v>
      </c>
      <c r="L12" s="153">
        <f t="shared" si="6"/>
        <v>365000</v>
      </c>
    </row>
    <row r="13" spans="1:12" ht="12.75">
      <c r="A13" s="154">
        <v>9</v>
      </c>
      <c r="B13" s="155" t="s">
        <v>307</v>
      </c>
      <c r="C13" s="155" t="s">
        <v>64</v>
      </c>
      <c r="D13" s="155" t="s">
        <v>297</v>
      </c>
      <c r="E13" s="155" t="s">
        <v>298</v>
      </c>
      <c r="F13" s="153" t="str">
        <f t="shared" si="0"/>
        <v>Bujang</v>
      </c>
      <c r="G13" s="153" t="str">
        <f t="shared" si="1"/>
        <v>Staff</v>
      </c>
      <c r="H13" s="153" t="str">
        <f t="shared" si="2"/>
        <v>Marketing</v>
      </c>
      <c r="I13" s="153" t="str">
        <f t="shared" si="3"/>
        <v>800000</v>
      </c>
      <c r="J13" s="153">
        <f t="shared" si="4"/>
        <v>8000</v>
      </c>
      <c r="K13" s="153" t="str">
        <f t="shared" si="5"/>
        <v>75000</v>
      </c>
      <c r="L13" s="153">
        <f t="shared" si="6"/>
        <v>883000</v>
      </c>
    </row>
    <row r="14" spans="1:12" ht="12.75">
      <c r="A14" s="154">
        <v>10</v>
      </c>
      <c r="B14" s="155" t="s">
        <v>255</v>
      </c>
      <c r="C14" s="155" t="s">
        <v>293</v>
      </c>
      <c r="D14" s="155" t="s">
        <v>294</v>
      </c>
      <c r="E14" s="155" t="s">
        <v>295</v>
      </c>
      <c r="F14" s="153" t="str">
        <f t="shared" si="0"/>
        <v>Kawin</v>
      </c>
      <c r="G14" s="153" t="str">
        <f t="shared" si="1"/>
        <v>Honorer</v>
      </c>
      <c r="H14" s="153" t="str">
        <f t="shared" si="2"/>
        <v>Administrasi</v>
      </c>
      <c r="I14" s="153" t="str">
        <f t="shared" si="3"/>
        <v>300000</v>
      </c>
      <c r="J14" s="153">
        <f>IF(F14="Kawin",5%*I14,IF(F14="Bujang","1"%*I14))</f>
        <v>15000</v>
      </c>
      <c r="K14" s="153" t="str">
        <f>IF(E14="ADM","50000",IF(E14="KOM","100000",IF(E14="MAR","75000")))</f>
        <v>50000</v>
      </c>
      <c r="L14" s="153">
        <f t="shared" si="6"/>
        <v>365000</v>
      </c>
    </row>
    <row r="15" spans="7:12" ht="12.75">
      <c r="G15" s="110" t="s">
        <v>265</v>
      </c>
      <c r="H15" s="112"/>
      <c r="I15" s="32"/>
      <c r="J15" s="32"/>
      <c r="K15" s="32"/>
      <c r="L15" s="32"/>
    </row>
    <row r="16" ht="12.75">
      <c r="D16" t="str">
        <f>IF(C5="K","Kawin","Bujang")</f>
        <v>Kawin</v>
      </c>
    </row>
    <row r="18" spans="1:18" ht="15">
      <c r="A18" s="152" t="s">
        <v>269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15">
      <c r="A19" s="152" t="s">
        <v>308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ht="15">
      <c r="A20" s="152" t="s">
        <v>438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ht="15">
      <c r="A21" s="152" t="s">
        <v>309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  <row r="22" spans="1:18" ht="15">
      <c r="A22" s="152" t="s">
        <v>310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1:18" ht="15">
      <c r="A23" s="152" t="s">
        <v>311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1:18" ht="15">
      <c r="A24" s="152" t="s">
        <v>312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8" ht="15">
      <c r="A25" s="152" t="s">
        <v>313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1" ht="18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1:11" ht="18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</row>
    <row r="28" spans="1:11" ht="18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  <row r="29" spans="1:11" ht="18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11" ht="18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</row>
  </sheetData>
  <mergeCells count="6">
    <mergeCell ref="A1:L1"/>
    <mergeCell ref="A3:A4"/>
    <mergeCell ref="B3:B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 muhi kra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</dc:creator>
  <cp:keywords/>
  <dc:description/>
  <cp:lastModifiedBy>server</cp:lastModifiedBy>
  <dcterms:created xsi:type="dcterms:W3CDTF">2010-02-02T13:04:46Z</dcterms:created>
  <dcterms:modified xsi:type="dcterms:W3CDTF">2011-01-08T03:04:28Z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